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Farid\Desktop\"/>
    </mc:Choice>
  </mc:AlternateContent>
  <bookViews>
    <workbookView xWindow="0" yWindow="0" windowWidth="28800" windowHeight="12990"/>
  </bookViews>
  <sheets>
    <sheet name="Analysis" sheetId="4" r:id="rId1"/>
    <sheet name="League Table" sheetId="3" r:id="rId2"/>
    <sheet name="1" sheetId="5" state="hidden" r:id="rId3"/>
    <sheet name="2" sheetId="6" state="hidden" r:id="rId4"/>
  </sheets>
  <definedNames>
    <definedName name="AwayTeam">Analysis!$E$4</definedName>
    <definedName name="AwayTotalAwayGames">Analysis!$E$6</definedName>
    <definedName name="AwayTotalAwayGoals">Analysis!$E$9</definedName>
    <definedName name="AwayTotalConcedeAway">Analysis!$E$12</definedName>
    <definedName name="HomeTeam">Analysis!$C$4</definedName>
    <definedName name="HomeTotalConcedeHome">Analysis!$C$11</definedName>
    <definedName name="HomeTotalHomeGames">Analysis!$C$5</definedName>
    <definedName name="HomeTotalHomeGoals">Analysis!$C$8</definedName>
    <definedName name="LeagueRow">Analysis!$I$4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4" l="1"/>
  <c r="J4" i="5" l="1"/>
  <c r="H6" i="5"/>
  <c r="AI6" i="3" l="1"/>
  <c r="AH6" i="3"/>
  <c r="AJ4" i="3"/>
  <c r="AI4" i="3"/>
  <c r="AH4" i="3"/>
  <c r="AJ3" i="3"/>
  <c r="AI3" i="3"/>
  <c r="AH3" i="3"/>
  <c r="H5" i="4"/>
  <c r="E11" i="4"/>
  <c r="E10" i="4"/>
  <c r="E8" i="4"/>
  <c r="E7" i="4"/>
  <c r="C11" i="4"/>
  <c r="C8" i="4"/>
  <c r="C10" i="4"/>
  <c r="C7" i="4"/>
  <c r="AF4" i="3"/>
  <c r="AF5" i="3"/>
  <c r="AF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3" i="3"/>
  <c r="AE4" i="3"/>
  <c r="AE5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3" i="3"/>
  <c r="C4" i="4" l="1"/>
  <c r="C5" i="4"/>
  <c r="E4" i="4"/>
  <c r="E5" i="4"/>
  <c r="AK4" i="3"/>
  <c r="AK3" i="3"/>
  <c r="C9" i="4"/>
  <c r="C12" i="4"/>
  <c r="E9" i="4"/>
  <c r="E12" i="4"/>
  <c r="C6" i="4" l="1"/>
  <c r="E6" i="4"/>
  <c r="AP1" i="3"/>
  <c r="H10" i="4" s="1"/>
  <c r="AK5" i="3"/>
  <c r="AI7" i="3"/>
  <c r="M5" i="4" s="1"/>
  <c r="AH7" i="3"/>
  <c r="L5" i="4" s="1"/>
  <c r="K5" i="4"/>
  <c r="I5" i="4"/>
  <c r="J5" i="4"/>
  <c r="C15" i="4" l="1"/>
  <c r="E7" i="5" s="1"/>
  <c r="E14" i="4"/>
  <c r="D8" i="5" s="1"/>
  <c r="E15" i="4"/>
  <c r="E8" i="5" s="1"/>
  <c r="C14" i="4"/>
  <c r="D7" i="5" s="1"/>
  <c r="C16" i="4" l="1"/>
  <c r="L10" i="4" s="1"/>
  <c r="E16" i="4"/>
  <c r="M10" i="4" s="1"/>
  <c r="F8" i="5" l="1"/>
  <c r="H2" i="6"/>
  <c r="F7" i="5"/>
  <c r="B2" i="6"/>
  <c r="O20" i="5" l="1"/>
  <c r="W20" i="5"/>
  <c r="N21" i="5"/>
  <c r="V21" i="5"/>
  <c r="M22" i="5"/>
  <c r="U22" i="5"/>
  <c r="Z8" i="5"/>
  <c r="Z16" i="5"/>
  <c r="P20" i="5"/>
  <c r="X20" i="5"/>
  <c r="O21" i="5"/>
  <c r="W21" i="5"/>
  <c r="N22" i="5"/>
  <c r="V22" i="5"/>
  <c r="Z9" i="5"/>
  <c r="Z17" i="5"/>
  <c r="Q20" i="5"/>
  <c r="Y20" i="5"/>
  <c r="O22" i="5"/>
  <c r="W22" i="5"/>
  <c r="R20" i="5"/>
  <c r="P22" i="5"/>
  <c r="S20" i="5"/>
  <c r="Z21" i="5"/>
  <c r="Y21" i="5"/>
  <c r="Z19" i="5"/>
  <c r="R21" i="5"/>
  <c r="Y22" i="5"/>
  <c r="J20" i="5"/>
  <c r="K20" i="5"/>
  <c r="L20" i="5"/>
  <c r="T20" i="5"/>
  <c r="K21" i="5"/>
  <c r="S21" i="5"/>
  <c r="J22" i="5"/>
  <c r="R22" i="5"/>
  <c r="Z22" i="5"/>
  <c r="Z13" i="5"/>
  <c r="L21" i="5"/>
  <c r="K22" i="5"/>
  <c r="Z6" i="5"/>
  <c r="N20" i="5"/>
  <c r="M21" i="5"/>
  <c r="L22" i="5"/>
  <c r="Z7" i="5"/>
  <c r="P21" i="5"/>
  <c r="Z10" i="5"/>
  <c r="Z20" i="5"/>
  <c r="Z11" i="5"/>
  <c r="Q22" i="5"/>
  <c r="M20" i="5"/>
  <c r="U20" i="5"/>
  <c r="T21" i="5"/>
  <c r="S22" i="5"/>
  <c r="Z14" i="5"/>
  <c r="V20" i="5"/>
  <c r="U21" i="5"/>
  <c r="T22" i="5"/>
  <c r="Z15" i="5"/>
  <c r="X21" i="5"/>
  <c r="Z18" i="5"/>
  <c r="Q21" i="5"/>
  <c r="X22" i="5"/>
  <c r="J21" i="5"/>
  <c r="Z12" i="5"/>
  <c r="X6" i="5"/>
  <c r="X8" i="5"/>
  <c r="X10" i="5"/>
  <c r="X12" i="5"/>
  <c r="X14" i="5"/>
  <c r="X16" i="5"/>
  <c r="X18" i="5"/>
  <c r="X7" i="5"/>
  <c r="Y8" i="5"/>
  <c r="Y10" i="5"/>
  <c r="Y12" i="5"/>
  <c r="Y14" i="5"/>
  <c r="Y16" i="5"/>
  <c r="Y18" i="5"/>
  <c r="Y7" i="5"/>
  <c r="X9" i="5"/>
  <c r="X11" i="5"/>
  <c r="X13" i="5"/>
  <c r="X15" i="5"/>
  <c r="X17" i="5"/>
  <c r="X19" i="5"/>
  <c r="Y6" i="5"/>
  <c r="Y9" i="5"/>
  <c r="Y11" i="5"/>
  <c r="Y13" i="5"/>
  <c r="Y15" i="5"/>
  <c r="Y17" i="5"/>
  <c r="Y19" i="5"/>
  <c r="W17" i="5"/>
  <c r="V18" i="5"/>
  <c r="U19" i="5"/>
  <c r="S17" i="5"/>
  <c r="R18" i="5"/>
  <c r="Q19" i="5"/>
  <c r="O17" i="5"/>
  <c r="N18" i="5"/>
  <c r="M19" i="5"/>
  <c r="K17" i="5"/>
  <c r="J18" i="5"/>
  <c r="W16" i="5"/>
  <c r="U14" i="5"/>
  <c r="V13" i="5"/>
  <c r="W12" i="5"/>
  <c r="U10" i="5"/>
  <c r="V9" i="5"/>
  <c r="W8" i="5"/>
  <c r="U6" i="5"/>
  <c r="W18" i="5"/>
  <c r="V19" i="5"/>
  <c r="T17" i="5"/>
  <c r="S18" i="5"/>
  <c r="R19" i="5"/>
  <c r="P17" i="5"/>
  <c r="O18" i="5"/>
  <c r="N19" i="5"/>
  <c r="L17" i="5"/>
  <c r="K18" i="5"/>
  <c r="U15" i="5"/>
  <c r="V14" i="5"/>
  <c r="W13" i="5"/>
  <c r="U11" i="5"/>
  <c r="V10" i="5"/>
  <c r="W9" i="5"/>
  <c r="U7" i="5"/>
  <c r="V6" i="5"/>
  <c r="J19" i="5"/>
  <c r="W19" i="5"/>
  <c r="U17" i="5"/>
  <c r="T18" i="5"/>
  <c r="S19" i="5"/>
  <c r="Q17" i="5"/>
  <c r="P18" i="5"/>
  <c r="O19" i="5"/>
  <c r="M17" i="5"/>
  <c r="L18" i="5"/>
  <c r="K19" i="5"/>
  <c r="U16" i="5"/>
  <c r="V15" i="5"/>
  <c r="W14" i="5"/>
  <c r="U12" i="5"/>
  <c r="V11" i="5"/>
  <c r="W10" i="5"/>
  <c r="U8" i="5"/>
  <c r="V7" i="5"/>
  <c r="W6" i="5"/>
  <c r="V17" i="5"/>
  <c r="U18" i="5"/>
  <c r="T19" i="5"/>
  <c r="R17" i="5"/>
  <c r="Q18" i="5"/>
  <c r="P19" i="5"/>
  <c r="N17" i="5"/>
  <c r="M18" i="5"/>
  <c r="L19" i="5"/>
  <c r="J17" i="5"/>
  <c r="V16" i="5"/>
  <c r="W15" i="5"/>
  <c r="U13" i="5"/>
  <c r="V12" i="5"/>
  <c r="W11" i="5"/>
  <c r="U9" i="5"/>
  <c r="V8" i="5"/>
  <c r="W7" i="5"/>
  <c r="M7" i="5"/>
  <c r="R11" i="5"/>
  <c r="L7" i="5"/>
  <c r="J11" i="5"/>
  <c r="R6" i="5"/>
  <c r="R15" i="5"/>
  <c r="S15" i="5"/>
  <c r="L11" i="5"/>
  <c r="T12" i="5"/>
  <c r="Q11" i="5"/>
  <c r="N6" i="5"/>
  <c r="M8" i="5"/>
  <c r="P12" i="5"/>
  <c r="P6" i="5"/>
  <c r="S11" i="5"/>
  <c r="M15" i="5"/>
  <c r="R9" i="5"/>
  <c r="Q13" i="5"/>
  <c r="M6" i="5"/>
  <c r="R8" i="5"/>
  <c r="N15" i="5"/>
  <c r="P15" i="5"/>
  <c r="K14" i="5"/>
  <c r="J7" i="5"/>
  <c r="L15" i="5"/>
  <c r="K13" i="5"/>
  <c r="K12" i="5"/>
  <c r="S13" i="5"/>
  <c r="L10" i="5"/>
  <c r="O10" i="5"/>
  <c r="T13" i="5"/>
  <c r="K6" i="5"/>
  <c r="S14" i="5"/>
  <c r="T9" i="5"/>
  <c r="O7" i="5"/>
  <c r="T14" i="5"/>
  <c r="Q12" i="5"/>
  <c r="T6" i="5"/>
  <c r="L13" i="5"/>
  <c r="S7" i="5"/>
  <c r="K15" i="5"/>
  <c r="P10" i="5"/>
  <c r="S10" i="5"/>
  <c r="K10" i="5"/>
  <c r="R7" i="5"/>
  <c r="P13" i="5"/>
  <c r="L8" i="5"/>
  <c r="J14" i="5"/>
  <c r="P14" i="5"/>
  <c r="N8" i="5"/>
  <c r="T7" i="5"/>
  <c r="R13" i="5"/>
  <c r="K7" i="5"/>
  <c r="O13" i="5"/>
  <c r="O8" i="5"/>
  <c r="M13" i="5"/>
  <c r="R10" i="5"/>
  <c r="Q16" i="5"/>
  <c r="S16" i="5"/>
  <c r="J16" i="5"/>
  <c r="J9" i="5"/>
  <c r="N11" i="5"/>
  <c r="N10" i="5"/>
  <c r="T10" i="5"/>
  <c r="P7" i="5"/>
  <c r="N7" i="5"/>
  <c r="Q14" i="5"/>
  <c r="M9" i="5"/>
  <c r="P16" i="5"/>
  <c r="N16" i="5"/>
  <c r="N13" i="5"/>
  <c r="J13" i="5"/>
  <c r="L9" i="5"/>
  <c r="J15" i="5"/>
  <c r="Q9" i="5"/>
  <c r="O15" i="5"/>
  <c r="J12" i="5"/>
  <c r="Q8" i="5"/>
  <c r="O6" i="5"/>
  <c r="Q6" i="5"/>
  <c r="J10" i="5"/>
  <c r="T11" i="5"/>
  <c r="S12" i="5"/>
  <c r="L16" i="5"/>
  <c r="R12" i="5"/>
  <c r="K8" i="5"/>
  <c r="P8" i="5"/>
  <c r="O9" i="5"/>
  <c r="L6" i="5"/>
  <c r="M14" i="5"/>
  <c r="R14" i="5"/>
  <c r="M11" i="5"/>
  <c r="N9" i="5"/>
  <c r="M10" i="5"/>
  <c r="K16" i="5"/>
  <c r="L12" i="5"/>
  <c r="S6" i="5"/>
  <c r="N12" i="5"/>
  <c r="T15" i="5"/>
  <c r="M16" i="5"/>
  <c r="Q10" i="5"/>
  <c r="O16" i="5"/>
  <c r="K11" i="5"/>
  <c r="T16" i="5"/>
  <c r="J8" i="5"/>
  <c r="P9" i="5"/>
  <c r="P11" i="5"/>
  <c r="O12" i="5"/>
  <c r="N14" i="5"/>
  <c r="Q7" i="5"/>
  <c r="J6" i="5"/>
  <c r="R16" i="5"/>
  <c r="J7" i="6"/>
  <c r="M39" i="6" s="1"/>
  <c r="J11" i="6"/>
  <c r="M43" i="6" s="1"/>
  <c r="J15" i="6"/>
  <c r="M47" i="6" s="1"/>
  <c r="J19" i="6"/>
  <c r="M51" i="6" s="1"/>
  <c r="J23" i="6"/>
  <c r="M55" i="6" s="1"/>
  <c r="J27" i="6"/>
  <c r="M59" i="6" s="1"/>
  <c r="J31" i="6"/>
  <c r="M63" i="6" s="1"/>
  <c r="G7" i="6"/>
  <c r="M31" i="6" s="1"/>
  <c r="G11" i="6"/>
  <c r="M35" i="6" s="1"/>
  <c r="D7" i="6"/>
  <c r="M3" i="6" s="1"/>
  <c r="D11" i="6"/>
  <c r="M7" i="6" s="1"/>
  <c r="D15" i="6"/>
  <c r="M11" i="6" s="1"/>
  <c r="D19" i="6"/>
  <c r="M15" i="6" s="1"/>
  <c r="D23" i="6"/>
  <c r="M19" i="6" s="1"/>
  <c r="D27" i="6"/>
  <c r="M23" i="6" s="1"/>
  <c r="D31" i="6"/>
  <c r="M27" i="6" s="1"/>
  <c r="J8" i="6"/>
  <c r="M40" i="6" s="1"/>
  <c r="J12" i="6"/>
  <c r="M44" i="6" s="1"/>
  <c r="J16" i="6"/>
  <c r="M48" i="6" s="1"/>
  <c r="J20" i="6"/>
  <c r="M52" i="6" s="1"/>
  <c r="J24" i="6"/>
  <c r="M56" i="6" s="1"/>
  <c r="J28" i="6"/>
  <c r="M60" i="6" s="1"/>
  <c r="J32" i="6"/>
  <c r="M64" i="6" s="1"/>
  <c r="G8" i="6"/>
  <c r="M32" i="6" s="1"/>
  <c r="G12" i="6"/>
  <c r="M36" i="6" s="1"/>
  <c r="D8" i="6"/>
  <c r="M4" i="6" s="1"/>
  <c r="D12" i="6"/>
  <c r="M8" i="6" s="1"/>
  <c r="D16" i="6"/>
  <c r="M12" i="6" s="1"/>
  <c r="D20" i="6"/>
  <c r="M16" i="6" s="1"/>
  <c r="D24" i="6"/>
  <c r="M20" i="6" s="1"/>
  <c r="D28" i="6"/>
  <c r="M24" i="6" s="1"/>
  <c r="D32" i="6"/>
  <c r="M28" i="6" s="1"/>
  <c r="J10" i="6"/>
  <c r="M42" i="6" s="1"/>
  <c r="J18" i="6"/>
  <c r="M50" i="6" s="1"/>
  <c r="J22" i="6"/>
  <c r="M54" i="6" s="1"/>
  <c r="J26" i="6"/>
  <c r="M58" i="6" s="1"/>
  <c r="J30" i="6"/>
  <c r="M62" i="6" s="1"/>
  <c r="G10" i="6"/>
  <c r="M34" i="6" s="1"/>
  <c r="G6" i="6"/>
  <c r="D14" i="6"/>
  <c r="M10" i="6" s="1"/>
  <c r="D22" i="6"/>
  <c r="M18" i="6" s="1"/>
  <c r="D26" i="6"/>
  <c r="M22" i="6" s="1"/>
  <c r="J9" i="6"/>
  <c r="M41" i="6" s="1"/>
  <c r="J13" i="6"/>
  <c r="M45" i="6" s="1"/>
  <c r="J17" i="6"/>
  <c r="M49" i="6" s="1"/>
  <c r="J21" i="6"/>
  <c r="M53" i="6" s="1"/>
  <c r="J25" i="6"/>
  <c r="M57" i="6" s="1"/>
  <c r="J29" i="6"/>
  <c r="M61" i="6" s="1"/>
  <c r="J33" i="6"/>
  <c r="M65" i="6" s="1"/>
  <c r="G9" i="6"/>
  <c r="M33" i="6" s="1"/>
  <c r="G13" i="6"/>
  <c r="M37" i="6" s="1"/>
  <c r="D9" i="6"/>
  <c r="M5" i="6" s="1"/>
  <c r="D13" i="6"/>
  <c r="M9" i="6" s="1"/>
  <c r="D17" i="6"/>
  <c r="M13" i="6" s="1"/>
  <c r="D21" i="6"/>
  <c r="M17" i="6" s="1"/>
  <c r="D25" i="6"/>
  <c r="M21" i="6" s="1"/>
  <c r="D29" i="6"/>
  <c r="M25" i="6" s="1"/>
  <c r="D33" i="6"/>
  <c r="M29" i="6" s="1"/>
  <c r="D10" i="6"/>
  <c r="M6" i="6" s="1"/>
  <c r="D30" i="6"/>
  <c r="M26" i="6" s="1"/>
  <c r="J14" i="6"/>
  <c r="M46" i="6" s="1"/>
  <c r="J6" i="6"/>
  <c r="D18" i="6"/>
  <c r="M14" i="6" s="1"/>
  <c r="D6" i="6"/>
  <c r="M12" i="5"/>
  <c r="L14" i="5"/>
  <c r="O11" i="5"/>
  <c r="S9" i="5"/>
  <c r="O14" i="5"/>
  <c r="T8" i="5"/>
  <c r="K9" i="5"/>
  <c r="S8" i="5"/>
  <c r="Q15" i="5"/>
  <c r="AC6" i="5" l="1"/>
  <c r="I10" i="4" s="1"/>
  <c r="AD6" i="5"/>
  <c r="AD7" i="5" s="1"/>
  <c r="AD15" i="5"/>
  <c r="AD10" i="5"/>
  <c r="AD11" i="5" s="1"/>
  <c r="M30" i="6"/>
  <c r="E14" i="6"/>
  <c r="C49" i="6"/>
  <c r="H34" i="6"/>
  <c r="K34" i="6" s="1"/>
  <c r="G49" i="6"/>
  <c r="M38" i="6"/>
  <c r="H36" i="6"/>
  <c r="D36" i="6"/>
  <c r="B34" i="6"/>
  <c r="I49" i="6"/>
  <c r="A49" i="6"/>
  <c r="M2" i="6"/>
  <c r="AE6" i="5" l="1"/>
  <c r="K10" i="4" s="1"/>
  <c r="A50" i="6"/>
  <c r="AC15" i="5"/>
  <c r="AC16" i="5" s="1"/>
  <c r="AD16" i="5"/>
  <c r="AC7" i="5"/>
  <c r="AC10" i="5"/>
  <c r="AC11" i="5" s="1"/>
  <c r="G50" i="6"/>
  <c r="J10" i="4"/>
  <c r="E44" i="6"/>
  <c r="E16" i="6"/>
  <c r="E43" i="6"/>
  <c r="E45" i="6"/>
  <c r="E34" i="6"/>
  <c r="E40" i="6"/>
  <c r="G40" i="6" s="1"/>
  <c r="E39" i="6"/>
  <c r="G39" i="6" s="1"/>
  <c r="E41" i="6"/>
  <c r="G41" i="6" s="1"/>
  <c r="AE7" i="5" l="1"/>
  <c r="G43" i="6"/>
  <c r="H43" i="6" s="1"/>
  <c r="H39" i="6"/>
  <c r="I39" i="6"/>
  <c r="I41" i="6"/>
  <c r="H41" i="6"/>
  <c r="H40" i="6"/>
  <c r="I40" i="6"/>
  <c r="J41" i="6" l="1"/>
  <c r="Q40" i="6"/>
  <c r="J13" i="4" s="1"/>
  <c r="J40" i="6"/>
  <c r="Q39" i="6"/>
  <c r="H13" i="4" s="1"/>
  <c r="J39" i="6"/>
</calcChain>
</file>

<file path=xl/sharedStrings.xml><?xml version="1.0" encoding="utf-8"?>
<sst xmlns="http://schemas.openxmlformats.org/spreadsheetml/2006/main" count="213" uniqueCount="195">
  <si>
    <t>GP</t>
  </si>
  <si>
    <t>Draws</t>
  </si>
  <si>
    <t>Total</t>
  </si>
  <si>
    <t>Home</t>
  </si>
  <si>
    <t>Away</t>
  </si>
  <si>
    <t>Team</t>
  </si>
  <si>
    <t>W</t>
  </si>
  <si>
    <t>D</t>
  </si>
  <si>
    <t>L</t>
  </si>
  <si>
    <t>GF</t>
  </si>
  <si>
    <t>GA</t>
  </si>
  <si>
    <t>GD</t>
  </si>
  <si>
    <t>Pts</t>
  </si>
  <si>
    <t>PPG</t>
  </si>
  <si>
    <t>Wh</t>
  </si>
  <si>
    <t>Dh</t>
  </si>
  <si>
    <t>Lh</t>
  </si>
  <si>
    <t>GFh</t>
  </si>
  <si>
    <t>GAh</t>
  </si>
  <si>
    <t>PPGh  </t>
  </si>
  <si>
    <t>  PPGa</t>
  </si>
  <si>
    <t>Wa</t>
  </si>
  <si>
    <t>Da</t>
  </si>
  <si>
    <t>La</t>
  </si>
  <si>
    <t>GFa</t>
  </si>
  <si>
    <t>GAa</t>
  </si>
  <si>
    <t>1</t>
  </si>
  <si>
    <t>10</t>
  </si>
  <si>
    <t>6</t>
  </si>
  <si>
    <t>2</t>
  </si>
  <si>
    <t>4</t>
  </si>
  <si>
    <t>5</t>
  </si>
  <si>
    <t>9</t>
  </si>
  <si>
    <t>3</t>
  </si>
  <si>
    <t>11</t>
  </si>
  <si>
    <t>7</t>
  </si>
  <si>
    <t>8</t>
  </si>
  <si>
    <t>12</t>
  </si>
  <si>
    <t>Overall statistics of both teams</t>
  </si>
  <si>
    <t>Statistic</t>
  </si>
  <si>
    <t>Home games</t>
  </si>
  <si>
    <t>Away games</t>
  </si>
  <si>
    <t>Overall played</t>
  </si>
  <si>
    <t>Home goals</t>
  </si>
  <si>
    <t>Away goals</t>
  </si>
  <si>
    <t>Overall goals</t>
  </si>
  <si>
    <t>Goals conceded home</t>
  </si>
  <si>
    <t>Goals conceded away</t>
  </si>
  <si>
    <t>Goals conceded</t>
  </si>
  <si>
    <t>League statistics</t>
  </si>
  <si>
    <t>Matches Played</t>
  </si>
  <si>
    <t>Home Wins</t>
  </si>
  <si>
    <t>Away Wins</t>
  </si>
  <si>
    <t>home goal avg</t>
  </si>
  <si>
    <t>away goal avg</t>
  </si>
  <si>
    <t>Attıgı</t>
  </si>
  <si>
    <t>Yediği</t>
  </si>
  <si>
    <t>Calculations based on statistics</t>
  </si>
  <si>
    <t>Attacking Strength</t>
  </si>
  <si>
    <t>Defensive Strength</t>
  </si>
  <si>
    <t>xG</t>
  </si>
  <si>
    <t>Odds</t>
  </si>
  <si>
    <t>Manchester City</t>
  </si>
  <si>
    <t>Manchester United</t>
  </si>
  <si>
    <t>Chance</t>
  </si>
  <si>
    <t>Defense</t>
  </si>
  <si>
    <t>Attack</t>
  </si>
  <si>
    <t>Away (2)</t>
  </si>
  <si>
    <t>Draw (X)</t>
  </si>
  <si>
    <t>Home (1)</t>
  </si>
  <si>
    <t>#</t>
  </si>
  <si>
    <t>of goals scored</t>
  </si>
  <si>
    <t>YOU WANT TO PREDICT</t>
  </si>
  <si>
    <t>1X2 Match odds</t>
  </si>
  <si>
    <t>Expected number</t>
  </si>
  <si>
    <t>Strength rates</t>
  </si>
  <si>
    <t># ENTER THE MATCH</t>
  </si>
  <si>
    <t>Step 5 - Predict match odds market</t>
  </si>
  <si>
    <t>►</t>
  </si>
  <si>
    <t>Step 4 - Predict correct score market</t>
  </si>
  <si>
    <t>Step 3 - Pick match, and calculate expected goals (xG)</t>
  </si>
  <si>
    <t>TOTAL+(HOME-AWAY)</t>
  </si>
  <si>
    <t>" Score "</t>
  </si>
  <si>
    <t>1-0</t>
  </si>
  <si>
    <t>2-0</t>
  </si>
  <si>
    <t>X</t>
  </si>
  <si>
    <t>3-0</t>
  </si>
  <si>
    <t>4-0</t>
  </si>
  <si>
    <t>5-0</t>
  </si>
  <si>
    <t>6-0</t>
  </si>
  <si>
    <t>7-0</t>
  </si>
  <si>
    <t>2-1</t>
  </si>
  <si>
    <t>3-1</t>
  </si>
  <si>
    <t>4-1</t>
  </si>
  <si>
    <t>5-1</t>
  </si>
  <si>
    <t>6-1</t>
  </si>
  <si>
    <t>7-1</t>
  </si>
  <si>
    <t>3-2</t>
  </si>
  <si>
    <t>4-2</t>
  </si>
  <si>
    <t>5-2</t>
  </si>
  <si>
    <t>6-2</t>
  </si>
  <si>
    <t>7-2</t>
  </si>
  <si>
    <t>4-3</t>
  </si>
  <si>
    <t>5-3</t>
  </si>
  <si>
    <t>6-3</t>
  </si>
  <si>
    <t>7-3</t>
  </si>
  <si>
    <t>5-4</t>
  </si>
  <si>
    <t>6-4</t>
  </si>
  <si>
    <t>7-4</t>
  </si>
  <si>
    <t>6-5</t>
  </si>
  <si>
    <t>7-5</t>
  </si>
  <si>
    <t>7-6</t>
  </si>
  <si>
    <t>0-0</t>
  </si>
  <si>
    <t>1-1</t>
  </si>
  <si>
    <t>2-2</t>
  </si>
  <si>
    <t>3-3</t>
  </si>
  <si>
    <t>4-4</t>
  </si>
  <si>
    <t>5-5</t>
  </si>
  <si>
    <t>A.U.Q   -    HOME</t>
  </si>
  <si>
    <t>A.U.Q   -    AWAY</t>
  </si>
  <si>
    <t>6-6</t>
  </si>
  <si>
    <t>7-7</t>
  </si>
  <si>
    <t>0-1</t>
  </si>
  <si>
    <t>" Score - 1 "</t>
  </si>
  <si>
    <t>0-2</t>
  </si>
  <si>
    <t>" Score - 2 "</t>
  </si>
  <si>
    <t>0-3</t>
  </si>
  <si>
    <t>" Score - 3 "</t>
  </si>
  <si>
    <t>0-4</t>
  </si>
  <si>
    <t>0-5</t>
  </si>
  <si>
    <t>1X</t>
  </si>
  <si>
    <t>0-6</t>
  </si>
  <si>
    <t>X2</t>
  </si>
  <si>
    <t>0-7</t>
  </si>
  <si>
    <t>1-2</t>
  </si>
  <si>
    <t>1-3</t>
  </si>
  <si>
    <t>DG1</t>
  </si>
  <si>
    <t>DG2</t>
  </si>
  <si>
    <t>1-4</t>
  </si>
  <si>
    <t>YES</t>
  </si>
  <si>
    <t>NO</t>
  </si>
  <si>
    <t>1-5</t>
  </si>
  <si>
    <t>1-6</t>
  </si>
  <si>
    <t>1-7</t>
  </si>
  <si>
    <t>2-3</t>
  </si>
  <si>
    <t>2-4</t>
  </si>
  <si>
    <t>2-5</t>
  </si>
  <si>
    <t>2-6</t>
  </si>
  <si>
    <t>2-7</t>
  </si>
  <si>
    <t>3-4</t>
  </si>
  <si>
    <t>3-5</t>
  </si>
  <si>
    <t>3-6</t>
  </si>
  <si>
    <t>3-7</t>
  </si>
  <si>
    <t>4-5</t>
  </si>
  <si>
    <t>4-6</t>
  </si>
  <si>
    <t>4-7</t>
  </si>
  <si>
    <t>5-6</t>
  </si>
  <si>
    <t>5-7</t>
  </si>
  <si>
    <t>6-7</t>
  </si>
  <si>
    <t>or</t>
  </si>
  <si>
    <t>over</t>
  </si>
  <si>
    <t>under</t>
  </si>
  <si>
    <t>btts no</t>
  </si>
  <si>
    <t>home xG goals</t>
  </si>
  <si>
    <t>away xG goals</t>
  </si>
  <si>
    <t>yes</t>
  </si>
  <si>
    <t/>
  </si>
  <si>
    <t>data</t>
  </si>
  <si>
    <t>www.soccerstats.com</t>
  </si>
  <si>
    <t>Prediction (Full Time Score)</t>
  </si>
  <si>
    <r>
      <t xml:space="preserve">For best results, teams must play at least 15 matches in their league. </t>
    </r>
    <r>
      <rPr>
        <b/>
        <i/>
        <sz val="9"/>
        <color rgb="FF00B050"/>
        <rFont val="Calibri"/>
        <family val="2"/>
        <charset val="162"/>
        <scheme val="minor"/>
      </rPr>
      <t>Good luck!</t>
    </r>
  </si>
  <si>
    <t>13</t>
  </si>
  <si>
    <t>14</t>
  </si>
  <si>
    <t>15</t>
  </si>
  <si>
    <t>16</t>
  </si>
  <si>
    <t>17</t>
  </si>
  <si>
    <t>18</t>
  </si>
  <si>
    <t> Club Brugge </t>
  </si>
  <si>
    <t> St. Gilloise </t>
  </si>
  <si>
    <t> Charleroi </t>
  </si>
  <si>
    <t> Standard Liege </t>
  </si>
  <si>
    <t> KRC Genk </t>
  </si>
  <si>
    <t> Eupen </t>
  </si>
  <si>
    <t> Kortrijk </t>
  </si>
  <si>
    <t> Anderlecht </t>
  </si>
  <si>
    <t> Sint-Truiden </t>
  </si>
  <si>
    <t> Oostende </t>
  </si>
  <si>
    <t> Seraing </t>
  </si>
  <si>
    <t> Cercle Brugge </t>
  </si>
  <si>
    <t> Antwerp </t>
  </si>
  <si>
    <t> Zulte-Waregem </t>
  </si>
  <si>
    <t> Gent </t>
  </si>
  <si>
    <t> OH Leuven </t>
  </si>
  <si>
    <t> KV Mechelen </t>
  </si>
  <si>
    <t> Beerschot-Wil.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</si>
</sst>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\ 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0"/>
      <color rgb="FF222222"/>
      <name val="Calibri Light"/>
      <family val="2"/>
      <scheme val="major"/>
    </font>
    <font>
      <sz val="10"/>
      <color rgb="FF222222"/>
      <name val="Calibri Light"/>
      <family val="2"/>
      <scheme val="major"/>
    </font>
    <font>
      <b/>
      <i/>
      <sz val="10"/>
      <color rgb="FF222222"/>
      <name val="Calibri Light"/>
      <family val="2"/>
      <scheme val="major"/>
    </font>
    <font>
      <sz val="10"/>
      <color theme="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rgb="FFE71E39"/>
      <name val="Calibri Light"/>
      <family val="2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charset val="162"/>
      <scheme val="minor"/>
    </font>
    <font>
      <sz val="2"/>
      <color theme="0"/>
      <name val="Calibri"/>
      <family val="2"/>
      <charset val="162"/>
      <scheme val="minor"/>
    </font>
    <font>
      <sz val="2"/>
      <color theme="0"/>
      <name val="Calibri Light"/>
      <family val="1"/>
      <charset val="162"/>
      <scheme val="major"/>
    </font>
    <font>
      <b/>
      <sz val="8"/>
      <color theme="1"/>
      <name val="Calibri"/>
      <family val="2"/>
      <charset val="162"/>
      <scheme val="minor"/>
    </font>
    <font>
      <u/>
      <sz val="8"/>
      <color theme="10"/>
      <name val="Calibri"/>
      <family val="2"/>
      <scheme val="minor"/>
    </font>
    <font>
      <b/>
      <i/>
      <sz val="8"/>
      <color theme="0"/>
      <name val="Calibri"/>
      <family val="2"/>
      <charset val="162"/>
      <scheme val="minor"/>
    </font>
    <font>
      <sz val="8"/>
      <color theme="4" tint="-0.249977111117893"/>
      <name val="Calibri"/>
      <family val="2"/>
      <charset val="162"/>
      <scheme val="minor"/>
    </font>
    <font>
      <b/>
      <i/>
      <sz val="9"/>
      <color rgb="FF0070C0"/>
      <name val="Calibri"/>
      <family val="2"/>
      <charset val="162"/>
      <scheme val="minor"/>
    </font>
    <font>
      <b/>
      <i/>
      <sz val="9"/>
      <color rgb="FFFF0000"/>
      <name val="Calibri"/>
      <family val="2"/>
      <charset val="162"/>
      <scheme val="minor"/>
    </font>
    <font>
      <b/>
      <i/>
      <sz val="9"/>
      <color rgb="FF00B050"/>
      <name val="Calibri"/>
      <family val="2"/>
      <charset val="162"/>
      <scheme val="minor"/>
    </font>
    <font>
      <sz val="18"/>
      <color rgb="FF9BC2E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1E3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C2E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38">
    <xf numFmtId="0" fontId="0" fillId="0" borderId="0" xfId="0"/>
    <xf numFmtId="0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" xfId="1" applyNumberFormat="1" applyFont="1" applyBorder="1" applyAlignment="1" applyProtection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8" fillId="0" borderId="0" xfId="1" applyNumberFormat="1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12" fillId="0" borderId="9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2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5" fontId="18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20" fontId="20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left" vertical="center"/>
    </xf>
    <xf numFmtId="2" fontId="3" fillId="0" borderId="4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0" fontId="22" fillId="6" borderId="0" xfId="0" applyFont="1" applyFill="1" applyBorder="1"/>
    <xf numFmtId="0" fontId="23" fillId="6" borderId="0" xfId="0" applyFont="1" applyFill="1" applyBorder="1" applyAlignment="1">
      <alignment horizontal="center" vertical="center"/>
    </xf>
    <xf numFmtId="0" fontId="23" fillId="6" borderId="0" xfId="0" applyFont="1" applyFill="1" applyBorder="1"/>
    <xf numFmtId="10" fontId="23" fillId="6" borderId="0" xfId="1" applyNumberFormat="1" applyFont="1" applyFill="1" applyBorder="1" applyAlignment="1">
      <alignment horizontal="center" vertical="center"/>
    </xf>
    <xf numFmtId="49" fontId="23" fillId="6" borderId="0" xfId="0" applyNumberFormat="1" applyFont="1" applyFill="1" applyBorder="1" applyAlignment="1">
      <alignment horizontal="center" vertical="center"/>
    </xf>
    <xf numFmtId="2" fontId="23" fillId="6" borderId="0" xfId="0" applyNumberFormat="1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3" fillId="7" borderId="0" xfId="0" applyNumberFormat="1" applyFont="1" applyFill="1" applyAlignment="1">
      <alignment horizontal="center" vertical="center"/>
    </xf>
    <xf numFmtId="2" fontId="3" fillId="7" borderId="0" xfId="0" applyNumberFormat="1" applyFont="1" applyFill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27" fillId="0" borderId="0" xfId="0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16" xfId="0" applyFont="1" applyBorder="1"/>
    <xf numFmtId="0" fontId="27" fillId="2" borderId="2" xfId="0" applyFont="1" applyFill="1" applyBorder="1" applyAlignment="1">
      <alignment horizontal="center" vertical="center"/>
    </xf>
    <xf numFmtId="0" fontId="32" fillId="0" borderId="16" xfId="0" applyFont="1" applyBorder="1" applyAlignment="1">
      <alignment vertical="center" textRotation="90"/>
    </xf>
    <xf numFmtId="0" fontId="15" fillId="5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3" fillId="7" borderId="0" xfId="0" applyNumberFormat="1" applyFont="1" applyFill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0" fontId="26" fillId="0" borderId="19" xfId="2" applyFont="1" applyBorder="1" applyAlignment="1">
      <alignment horizontal="center" vertical="center"/>
    </xf>
    <xf numFmtId="0" fontId="26" fillId="0" borderId="18" xfId="2" applyFont="1" applyBorder="1" applyAlignment="1">
      <alignment horizontal="center" vertical="center"/>
    </xf>
    <xf numFmtId="0" fontId="26" fillId="0" borderId="10" xfId="2" applyFont="1" applyBorder="1" applyAlignment="1">
      <alignment horizontal="center" vertical="center"/>
    </xf>
    <xf numFmtId="0" fontId="26" fillId="0" borderId="20" xfId="2" applyFont="1" applyBorder="1" applyAlignment="1">
      <alignment horizontal="center" vertical="center"/>
    </xf>
    <xf numFmtId="0" fontId="26" fillId="0" borderId="1" xfId="2" applyFont="1" applyBorder="1" applyAlignment="1">
      <alignment horizontal="center" vertical="center"/>
    </xf>
    <xf numFmtId="0" fontId="26" fillId="0" borderId="17" xfId="2" applyFont="1" applyBorder="1" applyAlignment="1">
      <alignment horizontal="center" vertical="center"/>
    </xf>
    <xf numFmtId="0" fontId="26" fillId="0" borderId="0" xfId="2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7" fillId="7" borderId="3" xfId="0" applyFont="1" applyFill="1" applyBorder="1" applyAlignment="1">
      <alignment horizontal="center" vertical="center"/>
    </xf>
    <xf numFmtId="0" fontId="27" fillId="7" borderId="6" xfId="0" applyFont="1" applyFill="1" applyBorder="1" applyAlignment="1">
      <alignment horizontal="center" vertical="center"/>
    </xf>
    <xf numFmtId="0" fontId="27" fillId="7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49" fontId="3" fillId="7" borderId="0" xfId="0" applyNumberFormat="1" applyFont="1" applyFill="1" applyAlignment="1">
      <alignment horizontal="center" vertical="center"/>
    </xf>
    <xf numFmtId="0" fontId="3" fillId="7" borderId="0" xfId="0" applyNumberFormat="1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textRotation="90"/>
    </xf>
    <xf numFmtId="0" fontId="10" fillId="3" borderId="0" xfId="0" applyFont="1" applyFill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9" fontId="23" fillId="6" borderId="0" xfId="0" applyNumberFormat="1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2" fontId="23" fillId="6" borderId="0" xfId="0" applyNumberFormat="1" applyFont="1" applyFill="1" applyBorder="1" applyAlignment="1">
      <alignment horizontal="center" vertical="center"/>
    </xf>
    <xf numFmtId="0" fontId="23" fillId="6" borderId="0" xfId="0" applyFont="1" applyFill="1" applyBorder="1"/>
    <xf numFmtId="10" fontId="23" fillId="6" borderId="0" xfId="1" applyNumberFormat="1" applyFont="1" applyFill="1" applyBorder="1" applyAlignment="1">
      <alignment horizontal="center" vertical="center"/>
    </xf>
    <xf numFmtId="9" fontId="23" fillId="6" borderId="0" xfId="1" applyFont="1" applyFill="1" applyBorder="1" applyAlignment="1">
      <alignment horizontal="center" vertical="center"/>
    </xf>
    <xf numFmtId="0" fontId="23" fillId="6" borderId="0" xfId="1" applyNumberFormat="1" applyFont="1" applyFill="1" applyBorder="1" applyAlignment="1">
      <alignment horizontal="center" vertical="center"/>
    </xf>
    <xf numFmtId="10" fontId="24" fillId="6" borderId="0" xfId="0" applyNumberFormat="1" applyFont="1" applyFill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ccerstats.com/widetable.asp?league=Belgium" TargetMode="External"/><Relationship Id="rId13" Type="http://schemas.openxmlformats.org/officeDocument/2006/relationships/hyperlink" Target="https://www.soccerstats.com/widetable.asp?league=denmark" TargetMode="External"/><Relationship Id="rId18" Type="http://schemas.openxmlformats.org/officeDocument/2006/relationships/hyperlink" Target="https://www.soccerstats.com/widetable.asp?league=france" TargetMode="External"/><Relationship Id="rId26" Type="http://schemas.openxmlformats.org/officeDocument/2006/relationships/hyperlink" Target="https://www.soccerstats.com/widetable.asp?league=Scotland" TargetMode="External"/><Relationship Id="rId3" Type="http://schemas.openxmlformats.org/officeDocument/2006/relationships/hyperlink" Target="https://www.soccerstats.com/widetable.asp?league=italy2" TargetMode="External"/><Relationship Id="rId21" Type="http://schemas.openxmlformats.org/officeDocument/2006/relationships/hyperlink" Target="https://www.soccerstats.com/widetable.asp?league=netherlands" TargetMode="External"/><Relationship Id="rId34" Type="http://schemas.openxmlformats.org/officeDocument/2006/relationships/hyperlink" Target="https://www.soccerstats.com/widetable.asp?league=Ukraine" TargetMode="External"/><Relationship Id="rId7" Type="http://schemas.openxmlformats.org/officeDocument/2006/relationships/hyperlink" Target="https://www.soccerstats.com/widetable.asp?league=austria" TargetMode="External"/><Relationship Id="rId12" Type="http://schemas.openxmlformats.org/officeDocument/2006/relationships/hyperlink" Target="https://www.soccerstats.com/widetable.asp?league=germany2" TargetMode="External"/><Relationship Id="rId17" Type="http://schemas.openxmlformats.org/officeDocument/2006/relationships/hyperlink" Target="https://www.soccerstats.com/widetable.asp?league=spain2" TargetMode="External"/><Relationship Id="rId25" Type="http://schemas.openxmlformats.org/officeDocument/2006/relationships/hyperlink" Target="https://www.soccerstats.com/widetable.asp?league=russia" TargetMode="External"/><Relationship Id="rId33" Type="http://schemas.openxmlformats.org/officeDocument/2006/relationships/hyperlink" Target="https://www.soccerstats.com/widetable.asp?league=USA" TargetMode="External"/><Relationship Id="rId2" Type="http://schemas.openxmlformats.org/officeDocument/2006/relationships/hyperlink" Target="https://www.soccerstats.com/widetable.asp?league=italy" TargetMode="External"/><Relationship Id="rId16" Type="http://schemas.openxmlformats.org/officeDocument/2006/relationships/hyperlink" Target="https://www.soccerstats.com/widetable.asp?league=spain" TargetMode="External"/><Relationship Id="rId20" Type="http://schemas.openxmlformats.org/officeDocument/2006/relationships/hyperlink" Target="https://www.soccerstats.com/widetable.asp?league=southkorea" TargetMode="External"/><Relationship Id="rId29" Type="http://schemas.openxmlformats.org/officeDocument/2006/relationships/hyperlink" Target="https://www.soccerstats.com/widetable.asp?league=Croatia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soccerstats.com/widetable.asp?league=australia" TargetMode="External"/><Relationship Id="rId11" Type="http://schemas.openxmlformats.org/officeDocument/2006/relationships/hyperlink" Target="https://www.soccerstats.com/widetable.asp?league=germany" TargetMode="External"/><Relationship Id="rId24" Type="http://schemas.openxmlformats.org/officeDocument/2006/relationships/hyperlink" Target="https://www.soccerstats.com/widetable.asp?league=portugal" TargetMode="External"/><Relationship Id="rId32" Type="http://schemas.openxmlformats.org/officeDocument/2006/relationships/hyperlink" Target="https://www.soccerstats.com/widetable.asp?league=Serbia" TargetMode="External"/><Relationship Id="rId5" Type="http://schemas.openxmlformats.org/officeDocument/2006/relationships/hyperlink" Target="https://www.soccerstats.com/widetable.asp?league=brazil" TargetMode="External"/><Relationship Id="rId15" Type="http://schemas.openxmlformats.org/officeDocument/2006/relationships/hyperlink" Target="https://www.soccerstats.com/widetable.asp?league=england2" TargetMode="External"/><Relationship Id="rId23" Type="http://schemas.openxmlformats.org/officeDocument/2006/relationships/hyperlink" Target="https://www.soccerstats.com/widetable.asp?league=norway" TargetMode="External"/><Relationship Id="rId28" Type="http://schemas.openxmlformats.org/officeDocument/2006/relationships/hyperlink" Target="https://www.soccerstats.com/widetable.asp?league=Turkey" TargetMode="External"/><Relationship Id="rId36" Type="http://schemas.openxmlformats.org/officeDocument/2006/relationships/hyperlink" Target="https://www.soccerstats.com/widetable.asp?league=cyprus" TargetMode="External"/><Relationship Id="rId10" Type="http://schemas.openxmlformats.org/officeDocument/2006/relationships/hyperlink" Target="https://www.soccerstats.com/widetable.asp?league=CzechRepublic" TargetMode="External"/><Relationship Id="rId19" Type="http://schemas.openxmlformats.org/officeDocument/2006/relationships/hyperlink" Target="https://www.soccerstats.com/widetable.asp?league=france2" TargetMode="External"/><Relationship Id="rId31" Type="http://schemas.openxmlformats.org/officeDocument/2006/relationships/hyperlink" Target="https://www.soccerstats.com/widetable.asp?league=Romania" TargetMode="External"/><Relationship Id="rId4" Type="http://schemas.openxmlformats.org/officeDocument/2006/relationships/hyperlink" Target="https://www.soccerstats.com/widetable.asp?league=argentina" TargetMode="External"/><Relationship Id="rId9" Type="http://schemas.openxmlformats.org/officeDocument/2006/relationships/hyperlink" Target="https://www.soccerstats.com/widetable.asp?league=Switzerland" TargetMode="External"/><Relationship Id="rId14" Type="http://schemas.openxmlformats.org/officeDocument/2006/relationships/hyperlink" Target="https://www.soccerstats.com/widetable.asp?league=england" TargetMode="External"/><Relationship Id="rId22" Type="http://schemas.openxmlformats.org/officeDocument/2006/relationships/hyperlink" Target="https://www.soccerstats.com/widetable.asp?league=japan" TargetMode="External"/><Relationship Id="rId27" Type="http://schemas.openxmlformats.org/officeDocument/2006/relationships/hyperlink" Target="https://www.soccerstats.com/widetable.asp?league=Sweden" TargetMode="External"/><Relationship Id="rId30" Type="http://schemas.openxmlformats.org/officeDocument/2006/relationships/hyperlink" Target="https://www.soccerstats.com/widetable.asp?league=Mexico" TargetMode="External"/><Relationship Id="rId35" Type="http://schemas.openxmlformats.org/officeDocument/2006/relationships/hyperlink" Target="https://www.soccerstats.com/widetable.asp?league=netherlands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</xdr:colOff>
      <xdr:row>3</xdr:row>
      <xdr:rowOff>0</xdr:rowOff>
    </xdr:from>
    <xdr:to>
      <xdr:col>16</xdr:col>
      <xdr:colOff>0</xdr:colOff>
      <xdr:row>4</xdr:row>
      <xdr:rowOff>9525</xdr:rowOff>
    </xdr:to>
    <xdr:sp macro="" textlink="">
      <xdr:nvSpPr>
        <xdr:cNvPr id="4" name="Button 11" hidden="1">
          <a:extLst>
            <a:ext uri="{63B3BB69-23CF-44E3-9099-C40C66FF867C}">
              <a14:compatExt xmlns:a14="http://schemas.microsoft.com/office/drawing/2010/main" spid="_x0000_s9227"/>
            </a:ext>
            <a:ext uri="{FF2B5EF4-FFF2-40B4-BE49-F238E27FC236}">
              <a16:creationId xmlns:a16="http://schemas.microsoft.com/office/drawing/2014/main" id="{09503EBE-2CA5-43E2-95D8-9ABB2A717A4A}"/>
            </a:ext>
          </a:extLst>
        </xdr:cNvPr>
        <xdr:cNvSpPr/>
      </xdr:nvSpPr>
      <xdr:spPr bwMode="auto">
        <a:xfrm>
          <a:off x="11456670" y="586740"/>
          <a:ext cx="666750" cy="177165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</a:rPr>
            <a:t>AH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381000</xdr:colOff>
      <xdr:row>0</xdr:row>
      <xdr:rowOff>0</xdr:rowOff>
    </xdr:from>
    <xdr:to>
      <xdr:col>49</xdr:col>
      <xdr:colOff>57149</xdr:colOff>
      <xdr:row>22</xdr:row>
      <xdr:rowOff>47625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2B1DBCB1-56AE-4C82-B638-02685082B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0"/>
          <a:ext cx="4991099" cy="423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37</xdr:col>
      <xdr:colOff>114300</xdr:colOff>
      <xdr:row>2</xdr:row>
      <xdr:rowOff>76200</xdr:rowOff>
    </xdr:from>
    <xdr:to>
      <xdr:col>38</xdr:col>
      <xdr:colOff>135750</xdr:colOff>
      <xdr:row>3</xdr:row>
      <xdr:rowOff>29700</xdr:rowOff>
    </xdr:to>
    <xdr:sp macro="[0]!Скругленныйпрямоугольник214_Щелчок" textlink="">
      <xdr:nvSpPr>
        <xdr:cNvPr id="215" name="Скругленный прямоугольник 214">
          <a:hlinkClick xmlns:r="http://schemas.openxmlformats.org/officeDocument/2006/relationships" r:id="rId2"/>
        </xdr:cNvPr>
        <xdr:cNvSpPr/>
      </xdr:nvSpPr>
      <xdr:spPr>
        <a:xfrm>
          <a:off x="7067550" y="457200"/>
          <a:ext cx="612000" cy="14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600" b="1">
              <a:solidFill>
                <a:sysClr val="windowText" lastClr="000000"/>
              </a:solidFill>
            </a:rPr>
            <a:t>Italy D1</a:t>
          </a:r>
        </a:p>
      </xdr:txBody>
    </xdr:sp>
    <xdr:clientData/>
  </xdr:twoCellAnchor>
  <xdr:twoCellAnchor>
    <xdr:from>
      <xdr:col>38</xdr:col>
      <xdr:colOff>180975</xdr:colOff>
      <xdr:row>2</xdr:row>
      <xdr:rowOff>76200</xdr:rowOff>
    </xdr:from>
    <xdr:to>
      <xdr:col>39</xdr:col>
      <xdr:colOff>202425</xdr:colOff>
      <xdr:row>3</xdr:row>
      <xdr:rowOff>29700</xdr:rowOff>
    </xdr:to>
    <xdr:sp macro="" textlink="">
      <xdr:nvSpPr>
        <xdr:cNvPr id="216" name="Скругленный прямоугольник 215">
          <a:hlinkClick xmlns:r="http://schemas.openxmlformats.org/officeDocument/2006/relationships" r:id="rId3"/>
        </xdr:cNvPr>
        <xdr:cNvSpPr/>
      </xdr:nvSpPr>
      <xdr:spPr>
        <a:xfrm>
          <a:off x="7724775" y="457200"/>
          <a:ext cx="612000" cy="14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600" b="1">
              <a:solidFill>
                <a:sysClr val="windowText" lastClr="000000"/>
              </a:solidFill>
            </a:rPr>
            <a:t>Italy D2</a:t>
          </a:r>
        </a:p>
      </xdr:txBody>
    </xdr:sp>
    <xdr:clientData/>
  </xdr:twoCellAnchor>
  <xdr:twoCellAnchor>
    <xdr:from>
      <xdr:col>37</xdr:col>
      <xdr:colOff>104774</xdr:colOff>
      <xdr:row>7</xdr:row>
      <xdr:rowOff>152401</xdr:rowOff>
    </xdr:from>
    <xdr:to>
      <xdr:col>38</xdr:col>
      <xdr:colOff>126224</xdr:colOff>
      <xdr:row>8</xdr:row>
      <xdr:rowOff>105901</xdr:rowOff>
    </xdr:to>
    <xdr:sp macro="" textlink="">
      <xdr:nvSpPr>
        <xdr:cNvPr id="217" name="Скругленный прямоугольник 216">
          <a:hlinkClick xmlns:r="http://schemas.openxmlformats.org/officeDocument/2006/relationships" r:id="rId4"/>
        </xdr:cNvPr>
        <xdr:cNvSpPr/>
      </xdr:nvSpPr>
      <xdr:spPr>
        <a:xfrm>
          <a:off x="7058024" y="1485901"/>
          <a:ext cx="612000" cy="14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t-IT" sz="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Argentina D1</a:t>
          </a:r>
        </a:p>
      </xdr:txBody>
    </xdr:sp>
    <xdr:clientData/>
  </xdr:twoCellAnchor>
  <xdr:twoCellAnchor>
    <xdr:from>
      <xdr:col>37</xdr:col>
      <xdr:colOff>104775</xdr:colOff>
      <xdr:row>6</xdr:row>
      <xdr:rowOff>133351</xdr:rowOff>
    </xdr:from>
    <xdr:to>
      <xdr:col>38</xdr:col>
      <xdr:colOff>126225</xdr:colOff>
      <xdr:row>7</xdr:row>
      <xdr:rowOff>86851</xdr:rowOff>
    </xdr:to>
    <xdr:sp macro="" textlink="">
      <xdr:nvSpPr>
        <xdr:cNvPr id="218" name="Скругленный прямоугольник 217">
          <a:hlinkClick xmlns:r="http://schemas.openxmlformats.org/officeDocument/2006/relationships" r:id="rId5"/>
        </xdr:cNvPr>
        <xdr:cNvSpPr/>
      </xdr:nvSpPr>
      <xdr:spPr>
        <a:xfrm>
          <a:off x="7058025" y="1276351"/>
          <a:ext cx="612000" cy="14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Brasil</a:t>
          </a:r>
          <a:r>
            <a:rPr lang="en-US" sz="6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D1</a:t>
          </a:r>
          <a:endParaRPr lang="it-IT" sz="6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38</xdr:col>
      <xdr:colOff>180975</xdr:colOff>
      <xdr:row>17</xdr:row>
      <xdr:rowOff>123824</xdr:rowOff>
    </xdr:from>
    <xdr:to>
      <xdr:col>39</xdr:col>
      <xdr:colOff>202425</xdr:colOff>
      <xdr:row>18</xdr:row>
      <xdr:rowOff>77324</xdr:rowOff>
    </xdr:to>
    <xdr:sp macro="" textlink="">
      <xdr:nvSpPr>
        <xdr:cNvPr id="219" name="Скругленный прямоугольник 218">
          <a:hlinkClick xmlns:r="http://schemas.openxmlformats.org/officeDocument/2006/relationships" r:id="rId6"/>
        </xdr:cNvPr>
        <xdr:cNvSpPr/>
      </xdr:nvSpPr>
      <xdr:spPr>
        <a:xfrm>
          <a:off x="7724775" y="3362324"/>
          <a:ext cx="612000" cy="14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Australia</a:t>
          </a:r>
          <a:r>
            <a:rPr lang="en-US" sz="6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D1</a:t>
          </a:r>
          <a:endParaRPr lang="it-IT" sz="6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37</xdr:col>
      <xdr:colOff>104775</xdr:colOff>
      <xdr:row>10</xdr:row>
      <xdr:rowOff>171449</xdr:rowOff>
    </xdr:from>
    <xdr:to>
      <xdr:col>38</xdr:col>
      <xdr:colOff>126225</xdr:colOff>
      <xdr:row>11</xdr:row>
      <xdr:rowOff>124949</xdr:rowOff>
    </xdr:to>
    <xdr:sp macro="" textlink="">
      <xdr:nvSpPr>
        <xdr:cNvPr id="220" name="Скругленный прямоугольник 219">
          <a:hlinkClick xmlns:r="http://schemas.openxmlformats.org/officeDocument/2006/relationships" r:id="rId7"/>
        </xdr:cNvPr>
        <xdr:cNvSpPr/>
      </xdr:nvSpPr>
      <xdr:spPr>
        <a:xfrm>
          <a:off x="7058025" y="2076449"/>
          <a:ext cx="612000" cy="14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Austria D1</a:t>
          </a:r>
          <a:endParaRPr lang="it-IT" sz="6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37</xdr:col>
      <xdr:colOff>104775</xdr:colOff>
      <xdr:row>17</xdr:row>
      <xdr:rowOff>123824</xdr:rowOff>
    </xdr:from>
    <xdr:to>
      <xdr:col>38</xdr:col>
      <xdr:colOff>126225</xdr:colOff>
      <xdr:row>18</xdr:row>
      <xdr:rowOff>77324</xdr:rowOff>
    </xdr:to>
    <xdr:sp macro="" textlink="">
      <xdr:nvSpPr>
        <xdr:cNvPr id="221" name="Скругленный прямоугольник 220">
          <a:hlinkClick xmlns:r="http://schemas.openxmlformats.org/officeDocument/2006/relationships" r:id="rId8"/>
        </xdr:cNvPr>
        <xdr:cNvSpPr/>
      </xdr:nvSpPr>
      <xdr:spPr>
        <a:xfrm>
          <a:off x="7058025" y="3362324"/>
          <a:ext cx="612000" cy="14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Belgium D1</a:t>
          </a:r>
          <a:endParaRPr lang="it-IT" sz="6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38</xdr:col>
      <xdr:colOff>180975</xdr:colOff>
      <xdr:row>8</xdr:row>
      <xdr:rowOff>152400</xdr:rowOff>
    </xdr:from>
    <xdr:to>
      <xdr:col>39</xdr:col>
      <xdr:colOff>202425</xdr:colOff>
      <xdr:row>9</xdr:row>
      <xdr:rowOff>105900</xdr:rowOff>
    </xdr:to>
    <xdr:sp macro="" textlink="">
      <xdr:nvSpPr>
        <xdr:cNvPr id="222" name="Скругленный прямоугольник 221">
          <a:hlinkClick xmlns:r="http://schemas.openxmlformats.org/officeDocument/2006/relationships" r:id="rId9"/>
        </xdr:cNvPr>
        <xdr:cNvSpPr/>
      </xdr:nvSpPr>
      <xdr:spPr>
        <a:xfrm>
          <a:off x="7724775" y="1676400"/>
          <a:ext cx="612000" cy="14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Switzer D1</a:t>
          </a:r>
          <a:endParaRPr lang="it-IT" sz="6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38</xdr:col>
      <xdr:colOff>171450</xdr:colOff>
      <xdr:row>7</xdr:row>
      <xdr:rowOff>152399</xdr:rowOff>
    </xdr:from>
    <xdr:to>
      <xdr:col>39</xdr:col>
      <xdr:colOff>192900</xdr:colOff>
      <xdr:row>8</xdr:row>
      <xdr:rowOff>105899</xdr:rowOff>
    </xdr:to>
    <xdr:sp macro="" textlink="">
      <xdr:nvSpPr>
        <xdr:cNvPr id="223" name="Скругленный прямоугольник 222">
          <a:hlinkClick xmlns:r="http://schemas.openxmlformats.org/officeDocument/2006/relationships" r:id="rId10"/>
        </xdr:cNvPr>
        <xdr:cNvSpPr/>
      </xdr:nvSpPr>
      <xdr:spPr>
        <a:xfrm>
          <a:off x="7715250" y="1485899"/>
          <a:ext cx="612000" cy="14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Czech Rep D1</a:t>
          </a:r>
        </a:p>
      </xdr:txBody>
    </xdr:sp>
    <xdr:clientData/>
  </xdr:twoCellAnchor>
  <xdr:twoCellAnchor>
    <xdr:from>
      <xdr:col>37</xdr:col>
      <xdr:colOff>114300</xdr:colOff>
      <xdr:row>3</xdr:row>
      <xdr:rowOff>76199</xdr:rowOff>
    </xdr:from>
    <xdr:to>
      <xdr:col>38</xdr:col>
      <xdr:colOff>135750</xdr:colOff>
      <xdr:row>4</xdr:row>
      <xdr:rowOff>29699</xdr:rowOff>
    </xdr:to>
    <xdr:sp macro="" textlink="">
      <xdr:nvSpPr>
        <xdr:cNvPr id="225" name="Скругленный прямоугольник 224">
          <a:hlinkClick xmlns:r="http://schemas.openxmlformats.org/officeDocument/2006/relationships" r:id="rId11"/>
        </xdr:cNvPr>
        <xdr:cNvSpPr/>
      </xdr:nvSpPr>
      <xdr:spPr>
        <a:xfrm>
          <a:off x="7067550" y="647699"/>
          <a:ext cx="612000" cy="14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Germany D1</a:t>
          </a:r>
        </a:p>
      </xdr:txBody>
    </xdr:sp>
    <xdr:clientData/>
  </xdr:twoCellAnchor>
  <xdr:twoCellAnchor>
    <xdr:from>
      <xdr:col>38</xdr:col>
      <xdr:colOff>180975</xdr:colOff>
      <xdr:row>3</xdr:row>
      <xdr:rowOff>76199</xdr:rowOff>
    </xdr:from>
    <xdr:to>
      <xdr:col>39</xdr:col>
      <xdr:colOff>202425</xdr:colOff>
      <xdr:row>4</xdr:row>
      <xdr:rowOff>29699</xdr:rowOff>
    </xdr:to>
    <xdr:sp macro="" textlink="">
      <xdr:nvSpPr>
        <xdr:cNvPr id="226" name="Скругленный прямоугольник 225">
          <a:hlinkClick xmlns:r="http://schemas.openxmlformats.org/officeDocument/2006/relationships" r:id="rId12"/>
        </xdr:cNvPr>
        <xdr:cNvSpPr/>
      </xdr:nvSpPr>
      <xdr:spPr>
        <a:xfrm>
          <a:off x="7724775" y="647699"/>
          <a:ext cx="612000" cy="14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Germany D2</a:t>
          </a:r>
        </a:p>
      </xdr:txBody>
    </xdr:sp>
    <xdr:clientData/>
  </xdr:twoCellAnchor>
  <xdr:twoCellAnchor>
    <xdr:from>
      <xdr:col>37</xdr:col>
      <xdr:colOff>104775</xdr:colOff>
      <xdr:row>11</xdr:row>
      <xdr:rowOff>190499</xdr:rowOff>
    </xdr:from>
    <xdr:to>
      <xdr:col>38</xdr:col>
      <xdr:colOff>126225</xdr:colOff>
      <xdr:row>12</xdr:row>
      <xdr:rowOff>143999</xdr:rowOff>
    </xdr:to>
    <xdr:sp macro="" textlink="">
      <xdr:nvSpPr>
        <xdr:cNvPr id="227" name="Скругленный прямоугольник 226">
          <a:hlinkClick xmlns:r="http://schemas.openxmlformats.org/officeDocument/2006/relationships" r:id="rId13"/>
        </xdr:cNvPr>
        <xdr:cNvSpPr/>
      </xdr:nvSpPr>
      <xdr:spPr>
        <a:xfrm>
          <a:off x="7058025" y="2285999"/>
          <a:ext cx="612000" cy="14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Denmark D1</a:t>
          </a:r>
        </a:p>
      </xdr:txBody>
    </xdr:sp>
    <xdr:clientData/>
  </xdr:twoCellAnchor>
  <xdr:twoCellAnchor>
    <xdr:from>
      <xdr:col>37</xdr:col>
      <xdr:colOff>114300</xdr:colOff>
      <xdr:row>0</xdr:row>
      <xdr:rowOff>38099</xdr:rowOff>
    </xdr:from>
    <xdr:to>
      <xdr:col>38</xdr:col>
      <xdr:colOff>135750</xdr:colOff>
      <xdr:row>0</xdr:row>
      <xdr:rowOff>182099</xdr:rowOff>
    </xdr:to>
    <xdr:sp macro="" textlink="">
      <xdr:nvSpPr>
        <xdr:cNvPr id="228" name="Скругленный прямоугольник 227">
          <a:hlinkClick xmlns:r="http://schemas.openxmlformats.org/officeDocument/2006/relationships" r:id="rId14"/>
        </xdr:cNvPr>
        <xdr:cNvSpPr/>
      </xdr:nvSpPr>
      <xdr:spPr>
        <a:xfrm>
          <a:off x="7067550" y="38099"/>
          <a:ext cx="612000" cy="14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England D1</a:t>
          </a:r>
        </a:p>
      </xdr:txBody>
    </xdr:sp>
    <xdr:clientData/>
  </xdr:twoCellAnchor>
  <xdr:twoCellAnchor>
    <xdr:from>
      <xdr:col>38</xdr:col>
      <xdr:colOff>190500</xdr:colOff>
      <xdr:row>0</xdr:row>
      <xdr:rowOff>38099</xdr:rowOff>
    </xdr:from>
    <xdr:to>
      <xdr:col>39</xdr:col>
      <xdr:colOff>211950</xdr:colOff>
      <xdr:row>0</xdr:row>
      <xdr:rowOff>182099</xdr:rowOff>
    </xdr:to>
    <xdr:sp macro="" textlink="">
      <xdr:nvSpPr>
        <xdr:cNvPr id="229" name="Скругленный прямоугольник 228">
          <a:hlinkClick xmlns:r="http://schemas.openxmlformats.org/officeDocument/2006/relationships" r:id="rId15"/>
        </xdr:cNvPr>
        <xdr:cNvSpPr/>
      </xdr:nvSpPr>
      <xdr:spPr>
        <a:xfrm>
          <a:off x="7734300" y="38099"/>
          <a:ext cx="612000" cy="14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England D2</a:t>
          </a:r>
        </a:p>
      </xdr:txBody>
    </xdr:sp>
    <xdr:clientData/>
  </xdr:twoCellAnchor>
  <xdr:twoCellAnchor>
    <xdr:from>
      <xdr:col>37</xdr:col>
      <xdr:colOff>114300</xdr:colOff>
      <xdr:row>1</xdr:row>
      <xdr:rowOff>57149</xdr:rowOff>
    </xdr:from>
    <xdr:to>
      <xdr:col>38</xdr:col>
      <xdr:colOff>135750</xdr:colOff>
      <xdr:row>2</xdr:row>
      <xdr:rowOff>10649</xdr:rowOff>
    </xdr:to>
    <xdr:sp macro="" textlink="">
      <xdr:nvSpPr>
        <xdr:cNvPr id="230" name="Скругленный прямоугольник 229">
          <a:hlinkClick xmlns:r="http://schemas.openxmlformats.org/officeDocument/2006/relationships" r:id="rId16"/>
        </xdr:cNvPr>
        <xdr:cNvSpPr/>
      </xdr:nvSpPr>
      <xdr:spPr>
        <a:xfrm>
          <a:off x="7067550" y="247649"/>
          <a:ext cx="612000" cy="14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Spain D1</a:t>
          </a:r>
        </a:p>
      </xdr:txBody>
    </xdr:sp>
    <xdr:clientData/>
  </xdr:twoCellAnchor>
  <xdr:twoCellAnchor>
    <xdr:from>
      <xdr:col>38</xdr:col>
      <xdr:colOff>190500</xdr:colOff>
      <xdr:row>1</xdr:row>
      <xdr:rowOff>66674</xdr:rowOff>
    </xdr:from>
    <xdr:to>
      <xdr:col>39</xdr:col>
      <xdr:colOff>211950</xdr:colOff>
      <xdr:row>2</xdr:row>
      <xdr:rowOff>20174</xdr:rowOff>
    </xdr:to>
    <xdr:sp macro="" textlink="">
      <xdr:nvSpPr>
        <xdr:cNvPr id="231" name="Скругленный прямоугольник 230">
          <a:hlinkClick xmlns:r="http://schemas.openxmlformats.org/officeDocument/2006/relationships" r:id="rId17"/>
        </xdr:cNvPr>
        <xdr:cNvSpPr/>
      </xdr:nvSpPr>
      <xdr:spPr>
        <a:xfrm>
          <a:off x="7734300" y="257174"/>
          <a:ext cx="612000" cy="14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Spain D2</a:t>
          </a:r>
        </a:p>
      </xdr:txBody>
    </xdr:sp>
    <xdr:clientData/>
  </xdr:twoCellAnchor>
  <xdr:twoCellAnchor>
    <xdr:from>
      <xdr:col>37</xdr:col>
      <xdr:colOff>104775</xdr:colOff>
      <xdr:row>4</xdr:row>
      <xdr:rowOff>95249</xdr:rowOff>
    </xdr:from>
    <xdr:to>
      <xdr:col>38</xdr:col>
      <xdr:colOff>126225</xdr:colOff>
      <xdr:row>5</xdr:row>
      <xdr:rowOff>48749</xdr:rowOff>
    </xdr:to>
    <xdr:sp macro="" textlink="">
      <xdr:nvSpPr>
        <xdr:cNvPr id="232" name="Скругленный прямоугольник 231">
          <a:hlinkClick xmlns:r="http://schemas.openxmlformats.org/officeDocument/2006/relationships" r:id="rId18"/>
        </xdr:cNvPr>
        <xdr:cNvSpPr/>
      </xdr:nvSpPr>
      <xdr:spPr>
        <a:xfrm>
          <a:off x="7058025" y="857249"/>
          <a:ext cx="612000" cy="14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France D1</a:t>
          </a:r>
        </a:p>
      </xdr:txBody>
    </xdr:sp>
    <xdr:clientData/>
  </xdr:twoCellAnchor>
  <xdr:twoCellAnchor>
    <xdr:from>
      <xdr:col>38</xdr:col>
      <xdr:colOff>180975</xdr:colOff>
      <xdr:row>4</xdr:row>
      <xdr:rowOff>95249</xdr:rowOff>
    </xdr:from>
    <xdr:to>
      <xdr:col>39</xdr:col>
      <xdr:colOff>202425</xdr:colOff>
      <xdr:row>5</xdr:row>
      <xdr:rowOff>48749</xdr:rowOff>
    </xdr:to>
    <xdr:sp macro="" textlink="">
      <xdr:nvSpPr>
        <xdr:cNvPr id="233" name="Скругленный прямоугольник 232">
          <a:hlinkClick xmlns:r="http://schemas.openxmlformats.org/officeDocument/2006/relationships" r:id="rId19"/>
        </xdr:cNvPr>
        <xdr:cNvSpPr/>
      </xdr:nvSpPr>
      <xdr:spPr>
        <a:xfrm>
          <a:off x="7724775" y="857249"/>
          <a:ext cx="612000" cy="14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France D2</a:t>
          </a:r>
        </a:p>
      </xdr:txBody>
    </xdr:sp>
    <xdr:clientData/>
  </xdr:twoCellAnchor>
  <xdr:twoCellAnchor>
    <xdr:from>
      <xdr:col>37</xdr:col>
      <xdr:colOff>114300</xdr:colOff>
      <xdr:row>18</xdr:row>
      <xdr:rowOff>152399</xdr:rowOff>
    </xdr:from>
    <xdr:to>
      <xdr:col>38</xdr:col>
      <xdr:colOff>135750</xdr:colOff>
      <xdr:row>19</xdr:row>
      <xdr:rowOff>105899</xdr:rowOff>
    </xdr:to>
    <xdr:sp macro="" textlink="">
      <xdr:nvSpPr>
        <xdr:cNvPr id="234" name="Скругленный прямоугольник 233">
          <a:hlinkClick xmlns:r="http://schemas.openxmlformats.org/officeDocument/2006/relationships" r:id="rId20"/>
        </xdr:cNvPr>
        <xdr:cNvSpPr/>
      </xdr:nvSpPr>
      <xdr:spPr>
        <a:xfrm>
          <a:off x="7067550" y="3581399"/>
          <a:ext cx="612000" cy="14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S.Korea D1</a:t>
          </a:r>
        </a:p>
      </xdr:txBody>
    </xdr:sp>
    <xdr:clientData/>
  </xdr:twoCellAnchor>
  <xdr:twoCellAnchor>
    <xdr:from>
      <xdr:col>37</xdr:col>
      <xdr:colOff>104775</xdr:colOff>
      <xdr:row>5</xdr:row>
      <xdr:rowOff>114299</xdr:rowOff>
    </xdr:from>
    <xdr:to>
      <xdr:col>38</xdr:col>
      <xdr:colOff>126225</xdr:colOff>
      <xdr:row>6</xdr:row>
      <xdr:rowOff>67799</xdr:rowOff>
    </xdr:to>
    <xdr:sp macro="" textlink="">
      <xdr:nvSpPr>
        <xdr:cNvPr id="235" name="Скругленный прямоугольник 234">
          <a:hlinkClick xmlns:r="http://schemas.openxmlformats.org/officeDocument/2006/relationships" r:id="rId21"/>
        </xdr:cNvPr>
        <xdr:cNvSpPr/>
      </xdr:nvSpPr>
      <xdr:spPr>
        <a:xfrm>
          <a:off x="7058025" y="1066799"/>
          <a:ext cx="612000" cy="14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Holland D1</a:t>
          </a:r>
        </a:p>
      </xdr:txBody>
    </xdr:sp>
    <xdr:clientData/>
  </xdr:twoCellAnchor>
  <xdr:twoCellAnchor>
    <xdr:from>
      <xdr:col>38</xdr:col>
      <xdr:colOff>180975</xdr:colOff>
      <xdr:row>18</xdr:row>
      <xdr:rowOff>152399</xdr:rowOff>
    </xdr:from>
    <xdr:to>
      <xdr:col>39</xdr:col>
      <xdr:colOff>202425</xdr:colOff>
      <xdr:row>19</xdr:row>
      <xdr:rowOff>105899</xdr:rowOff>
    </xdr:to>
    <xdr:sp macro="" textlink="">
      <xdr:nvSpPr>
        <xdr:cNvPr id="236" name="Скругленный прямоугольник 235">
          <a:hlinkClick xmlns:r="http://schemas.openxmlformats.org/officeDocument/2006/relationships" r:id="rId22"/>
        </xdr:cNvPr>
        <xdr:cNvSpPr/>
      </xdr:nvSpPr>
      <xdr:spPr>
        <a:xfrm>
          <a:off x="7724775" y="3581399"/>
          <a:ext cx="612000" cy="14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Japan D1</a:t>
          </a:r>
        </a:p>
      </xdr:txBody>
    </xdr:sp>
    <xdr:clientData/>
  </xdr:twoCellAnchor>
  <xdr:twoCellAnchor>
    <xdr:from>
      <xdr:col>38</xdr:col>
      <xdr:colOff>180975</xdr:colOff>
      <xdr:row>9</xdr:row>
      <xdr:rowOff>161924</xdr:rowOff>
    </xdr:from>
    <xdr:to>
      <xdr:col>39</xdr:col>
      <xdr:colOff>202425</xdr:colOff>
      <xdr:row>10</xdr:row>
      <xdr:rowOff>115424</xdr:rowOff>
    </xdr:to>
    <xdr:sp macro="" textlink="">
      <xdr:nvSpPr>
        <xdr:cNvPr id="237" name="Скругленный прямоугольник 236">
          <a:hlinkClick xmlns:r="http://schemas.openxmlformats.org/officeDocument/2006/relationships" r:id="rId23"/>
        </xdr:cNvPr>
        <xdr:cNvSpPr/>
      </xdr:nvSpPr>
      <xdr:spPr>
        <a:xfrm>
          <a:off x="7724775" y="1876424"/>
          <a:ext cx="612000" cy="14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Norway D1</a:t>
          </a:r>
        </a:p>
      </xdr:txBody>
    </xdr:sp>
    <xdr:clientData/>
  </xdr:twoCellAnchor>
  <xdr:twoCellAnchor>
    <xdr:from>
      <xdr:col>37</xdr:col>
      <xdr:colOff>104775</xdr:colOff>
      <xdr:row>8</xdr:row>
      <xdr:rowOff>142874</xdr:rowOff>
    </xdr:from>
    <xdr:to>
      <xdr:col>38</xdr:col>
      <xdr:colOff>126225</xdr:colOff>
      <xdr:row>9</xdr:row>
      <xdr:rowOff>96374</xdr:rowOff>
    </xdr:to>
    <xdr:sp macro="" textlink="">
      <xdr:nvSpPr>
        <xdr:cNvPr id="238" name="Скругленный прямоугольник 237">
          <a:hlinkClick xmlns:r="http://schemas.openxmlformats.org/officeDocument/2006/relationships" r:id="rId24"/>
        </xdr:cNvPr>
        <xdr:cNvSpPr/>
      </xdr:nvSpPr>
      <xdr:spPr>
        <a:xfrm>
          <a:off x="7058025" y="1666874"/>
          <a:ext cx="612000" cy="14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Portugal D1</a:t>
          </a:r>
        </a:p>
      </xdr:txBody>
    </xdr:sp>
    <xdr:clientData/>
  </xdr:twoCellAnchor>
  <xdr:twoCellAnchor>
    <xdr:from>
      <xdr:col>37</xdr:col>
      <xdr:colOff>104775</xdr:colOff>
      <xdr:row>9</xdr:row>
      <xdr:rowOff>152399</xdr:rowOff>
    </xdr:from>
    <xdr:to>
      <xdr:col>38</xdr:col>
      <xdr:colOff>126225</xdr:colOff>
      <xdr:row>10</xdr:row>
      <xdr:rowOff>105899</xdr:rowOff>
    </xdr:to>
    <xdr:sp macro="" textlink="">
      <xdr:nvSpPr>
        <xdr:cNvPr id="239" name="Скругленный прямоугольник 238">
          <a:hlinkClick xmlns:r="http://schemas.openxmlformats.org/officeDocument/2006/relationships" r:id="rId25"/>
        </xdr:cNvPr>
        <xdr:cNvSpPr/>
      </xdr:nvSpPr>
      <xdr:spPr>
        <a:xfrm>
          <a:off x="7058025" y="1866899"/>
          <a:ext cx="612000" cy="14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Russia D1</a:t>
          </a:r>
        </a:p>
      </xdr:txBody>
    </xdr:sp>
    <xdr:clientData/>
  </xdr:twoCellAnchor>
  <xdr:twoCellAnchor>
    <xdr:from>
      <xdr:col>37</xdr:col>
      <xdr:colOff>104775</xdr:colOff>
      <xdr:row>16</xdr:row>
      <xdr:rowOff>104774</xdr:rowOff>
    </xdr:from>
    <xdr:to>
      <xdr:col>38</xdr:col>
      <xdr:colOff>126225</xdr:colOff>
      <xdr:row>17</xdr:row>
      <xdr:rowOff>58274</xdr:rowOff>
    </xdr:to>
    <xdr:sp macro="" textlink="">
      <xdr:nvSpPr>
        <xdr:cNvPr id="240" name="Скругленный прямоугольник 239">
          <a:hlinkClick xmlns:r="http://schemas.openxmlformats.org/officeDocument/2006/relationships" r:id="rId26"/>
        </xdr:cNvPr>
        <xdr:cNvSpPr/>
      </xdr:nvSpPr>
      <xdr:spPr>
        <a:xfrm>
          <a:off x="7058025" y="3152774"/>
          <a:ext cx="612000" cy="14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Scotland D1</a:t>
          </a:r>
        </a:p>
      </xdr:txBody>
    </xdr:sp>
    <xdr:clientData/>
  </xdr:twoCellAnchor>
  <xdr:twoCellAnchor>
    <xdr:from>
      <xdr:col>38</xdr:col>
      <xdr:colOff>180975</xdr:colOff>
      <xdr:row>10</xdr:row>
      <xdr:rowOff>171449</xdr:rowOff>
    </xdr:from>
    <xdr:to>
      <xdr:col>39</xdr:col>
      <xdr:colOff>202425</xdr:colOff>
      <xdr:row>11</xdr:row>
      <xdr:rowOff>124949</xdr:rowOff>
    </xdr:to>
    <xdr:sp macro="" textlink="">
      <xdr:nvSpPr>
        <xdr:cNvPr id="241" name="Скругленный прямоугольник 240">
          <a:hlinkClick xmlns:r="http://schemas.openxmlformats.org/officeDocument/2006/relationships" r:id="rId27"/>
        </xdr:cNvPr>
        <xdr:cNvSpPr/>
      </xdr:nvSpPr>
      <xdr:spPr>
        <a:xfrm>
          <a:off x="7724775" y="2076449"/>
          <a:ext cx="612000" cy="14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Sweden D1</a:t>
          </a:r>
        </a:p>
      </xdr:txBody>
    </xdr:sp>
    <xdr:clientData/>
  </xdr:twoCellAnchor>
  <xdr:twoCellAnchor>
    <xdr:from>
      <xdr:col>37</xdr:col>
      <xdr:colOff>104775</xdr:colOff>
      <xdr:row>13</xdr:row>
      <xdr:rowOff>19049</xdr:rowOff>
    </xdr:from>
    <xdr:to>
      <xdr:col>38</xdr:col>
      <xdr:colOff>126225</xdr:colOff>
      <xdr:row>13</xdr:row>
      <xdr:rowOff>163049</xdr:rowOff>
    </xdr:to>
    <xdr:sp macro="" textlink="">
      <xdr:nvSpPr>
        <xdr:cNvPr id="242" name="Скругленный прямоугольник 241">
          <a:hlinkClick xmlns:r="http://schemas.openxmlformats.org/officeDocument/2006/relationships" r:id="rId28"/>
        </xdr:cNvPr>
        <xdr:cNvSpPr/>
      </xdr:nvSpPr>
      <xdr:spPr>
        <a:xfrm>
          <a:off x="7058025" y="2495549"/>
          <a:ext cx="612000" cy="14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Turkey D1</a:t>
          </a:r>
        </a:p>
      </xdr:txBody>
    </xdr:sp>
    <xdr:clientData/>
  </xdr:twoCellAnchor>
  <xdr:twoCellAnchor>
    <xdr:from>
      <xdr:col>38</xdr:col>
      <xdr:colOff>180975</xdr:colOff>
      <xdr:row>11</xdr:row>
      <xdr:rowOff>190499</xdr:rowOff>
    </xdr:from>
    <xdr:to>
      <xdr:col>39</xdr:col>
      <xdr:colOff>202425</xdr:colOff>
      <xdr:row>12</xdr:row>
      <xdr:rowOff>143999</xdr:rowOff>
    </xdr:to>
    <xdr:sp macro="" textlink="">
      <xdr:nvSpPr>
        <xdr:cNvPr id="244" name="Скругленный прямоугольник 243">
          <a:hlinkClick xmlns:r="http://schemas.openxmlformats.org/officeDocument/2006/relationships" r:id="rId29"/>
        </xdr:cNvPr>
        <xdr:cNvSpPr/>
      </xdr:nvSpPr>
      <xdr:spPr>
        <a:xfrm>
          <a:off x="7724775" y="2285999"/>
          <a:ext cx="612000" cy="14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Croatia D1</a:t>
          </a:r>
        </a:p>
      </xdr:txBody>
    </xdr:sp>
    <xdr:clientData/>
  </xdr:twoCellAnchor>
  <xdr:twoCellAnchor>
    <xdr:from>
      <xdr:col>38</xdr:col>
      <xdr:colOff>171450</xdr:colOff>
      <xdr:row>13</xdr:row>
      <xdr:rowOff>19049</xdr:rowOff>
    </xdr:from>
    <xdr:to>
      <xdr:col>39</xdr:col>
      <xdr:colOff>192900</xdr:colOff>
      <xdr:row>13</xdr:row>
      <xdr:rowOff>163049</xdr:rowOff>
    </xdr:to>
    <xdr:sp macro="" textlink="">
      <xdr:nvSpPr>
        <xdr:cNvPr id="245" name="Скругленный прямоугольник 244">
          <a:hlinkClick xmlns:r="http://schemas.openxmlformats.org/officeDocument/2006/relationships" r:id="rId30"/>
        </xdr:cNvPr>
        <xdr:cNvSpPr/>
      </xdr:nvSpPr>
      <xdr:spPr>
        <a:xfrm>
          <a:off x="7715250" y="2495549"/>
          <a:ext cx="612000" cy="14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Mexico D1</a:t>
          </a:r>
        </a:p>
      </xdr:txBody>
    </xdr:sp>
    <xdr:clientData/>
  </xdr:twoCellAnchor>
  <xdr:twoCellAnchor>
    <xdr:from>
      <xdr:col>38</xdr:col>
      <xdr:colOff>171450</xdr:colOff>
      <xdr:row>14</xdr:row>
      <xdr:rowOff>47624</xdr:rowOff>
    </xdr:from>
    <xdr:to>
      <xdr:col>39</xdr:col>
      <xdr:colOff>192900</xdr:colOff>
      <xdr:row>15</xdr:row>
      <xdr:rowOff>1124</xdr:rowOff>
    </xdr:to>
    <xdr:sp macro="" textlink="">
      <xdr:nvSpPr>
        <xdr:cNvPr id="246" name="Скругленный прямоугольник 245">
          <a:hlinkClick xmlns:r="http://schemas.openxmlformats.org/officeDocument/2006/relationships" r:id="rId31"/>
        </xdr:cNvPr>
        <xdr:cNvSpPr/>
      </xdr:nvSpPr>
      <xdr:spPr>
        <a:xfrm>
          <a:off x="7715250" y="2714624"/>
          <a:ext cx="612000" cy="14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Romania D1</a:t>
          </a:r>
        </a:p>
      </xdr:txBody>
    </xdr:sp>
    <xdr:clientData/>
  </xdr:twoCellAnchor>
  <xdr:twoCellAnchor>
    <xdr:from>
      <xdr:col>38</xdr:col>
      <xdr:colOff>180975</xdr:colOff>
      <xdr:row>15</xdr:row>
      <xdr:rowOff>66674</xdr:rowOff>
    </xdr:from>
    <xdr:to>
      <xdr:col>39</xdr:col>
      <xdr:colOff>202425</xdr:colOff>
      <xdr:row>16</xdr:row>
      <xdr:rowOff>20174</xdr:rowOff>
    </xdr:to>
    <xdr:sp macro="" textlink="">
      <xdr:nvSpPr>
        <xdr:cNvPr id="247" name="Скругленный прямоугольник 246">
          <a:hlinkClick xmlns:r="http://schemas.openxmlformats.org/officeDocument/2006/relationships" r:id="rId32"/>
        </xdr:cNvPr>
        <xdr:cNvSpPr/>
      </xdr:nvSpPr>
      <xdr:spPr>
        <a:xfrm>
          <a:off x="7724775" y="2924174"/>
          <a:ext cx="612000" cy="14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Serbia  D1</a:t>
          </a:r>
        </a:p>
      </xdr:txBody>
    </xdr:sp>
    <xdr:clientData/>
  </xdr:twoCellAnchor>
  <xdr:twoCellAnchor>
    <xdr:from>
      <xdr:col>38</xdr:col>
      <xdr:colOff>180975</xdr:colOff>
      <xdr:row>16</xdr:row>
      <xdr:rowOff>104774</xdr:rowOff>
    </xdr:from>
    <xdr:to>
      <xdr:col>39</xdr:col>
      <xdr:colOff>202425</xdr:colOff>
      <xdr:row>17</xdr:row>
      <xdr:rowOff>58274</xdr:rowOff>
    </xdr:to>
    <xdr:sp macro="" textlink="">
      <xdr:nvSpPr>
        <xdr:cNvPr id="248" name="Скругленный прямоугольник 247">
          <a:hlinkClick xmlns:r="http://schemas.openxmlformats.org/officeDocument/2006/relationships" r:id="rId33"/>
        </xdr:cNvPr>
        <xdr:cNvSpPr/>
      </xdr:nvSpPr>
      <xdr:spPr>
        <a:xfrm>
          <a:off x="7724775" y="3152774"/>
          <a:ext cx="612000" cy="14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USA D1</a:t>
          </a:r>
        </a:p>
      </xdr:txBody>
    </xdr:sp>
    <xdr:clientData/>
  </xdr:twoCellAnchor>
  <xdr:twoCellAnchor>
    <xdr:from>
      <xdr:col>38</xdr:col>
      <xdr:colOff>171450</xdr:colOff>
      <xdr:row>6</xdr:row>
      <xdr:rowOff>142874</xdr:rowOff>
    </xdr:from>
    <xdr:to>
      <xdr:col>39</xdr:col>
      <xdr:colOff>192900</xdr:colOff>
      <xdr:row>7</xdr:row>
      <xdr:rowOff>96374</xdr:rowOff>
    </xdr:to>
    <xdr:sp macro="" textlink="">
      <xdr:nvSpPr>
        <xdr:cNvPr id="250" name="Скругленный прямоугольник 249">
          <a:hlinkClick xmlns:r="http://schemas.openxmlformats.org/officeDocument/2006/relationships" r:id="rId34"/>
        </xdr:cNvPr>
        <xdr:cNvSpPr/>
      </xdr:nvSpPr>
      <xdr:spPr>
        <a:xfrm>
          <a:off x="7715250" y="1285874"/>
          <a:ext cx="612000" cy="14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Ukraine D1</a:t>
          </a:r>
        </a:p>
      </xdr:txBody>
    </xdr:sp>
    <xdr:clientData/>
  </xdr:twoCellAnchor>
  <xdr:twoCellAnchor>
    <xdr:from>
      <xdr:col>38</xdr:col>
      <xdr:colOff>171450</xdr:colOff>
      <xdr:row>5</xdr:row>
      <xdr:rowOff>123824</xdr:rowOff>
    </xdr:from>
    <xdr:to>
      <xdr:col>39</xdr:col>
      <xdr:colOff>192900</xdr:colOff>
      <xdr:row>6</xdr:row>
      <xdr:rowOff>77324</xdr:rowOff>
    </xdr:to>
    <xdr:sp macro="" textlink="">
      <xdr:nvSpPr>
        <xdr:cNvPr id="41" name="Скругленный прямоугольник 40">
          <a:hlinkClick xmlns:r="http://schemas.openxmlformats.org/officeDocument/2006/relationships" r:id="rId35"/>
        </xdr:cNvPr>
        <xdr:cNvSpPr/>
      </xdr:nvSpPr>
      <xdr:spPr>
        <a:xfrm>
          <a:off x="7715250" y="1076324"/>
          <a:ext cx="612000" cy="14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Holland D</a:t>
          </a:r>
          <a:r>
            <a:rPr lang="ru-RU" sz="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endParaRPr lang="en-US" sz="6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37</xdr:col>
      <xdr:colOff>104775</xdr:colOff>
      <xdr:row>14</xdr:row>
      <xdr:rowOff>38099</xdr:rowOff>
    </xdr:from>
    <xdr:to>
      <xdr:col>38</xdr:col>
      <xdr:colOff>126225</xdr:colOff>
      <xdr:row>14</xdr:row>
      <xdr:rowOff>182099</xdr:rowOff>
    </xdr:to>
    <xdr:sp macro="" textlink="">
      <xdr:nvSpPr>
        <xdr:cNvPr id="42" name="Скругленный прямоугольник 41">
          <a:hlinkClick xmlns:r="http://schemas.openxmlformats.org/officeDocument/2006/relationships" r:id="rId36"/>
        </xdr:cNvPr>
        <xdr:cNvSpPr/>
      </xdr:nvSpPr>
      <xdr:spPr>
        <a:xfrm>
          <a:off x="7058025" y="2705099"/>
          <a:ext cx="612000" cy="14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Cyprus D1</a:t>
          </a:r>
        </a:p>
      </xdr:txBody>
    </xdr:sp>
    <xdr:clientData/>
  </xdr:twoCellAnchor>
  <xdr:twoCellAnchor>
    <xdr:from>
      <xdr:col>37</xdr:col>
      <xdr:colOff>104775</xdr:colOff>
      <xdr:row>15</xdr:row>
      <xdr:rowOff>57151</xdr:rowOff>
    </xdr:from>
    <xdr:to>
      <xdr:col>38</xdr:col>
      <xdr:colOff>126225</xdr:colOff>
      <xdr:row>16</xdr:row>
      <xdr:rowOff>10651</xdr:rowOff>
    </xdr:to>
    <xdr:sp macro="" textlink="">
      <xdr:nvSpPr>
        <xdr:cNvPr id="43" name="Скругленный прямоугольник 42">
          <a:hlinkClick xmlns:r="http://schemas.openxmlformats.org/officeDocument/2006/relationships" r:id="rId32"/>
        </xdr:cNvPr>
        <xdr:cNvSpPr/>
      </xdr:nvSpPr>
      <xdr:spPr>
        <a:xfrm>
          <a:off x="7058025" y="2914651"/>
          <a:ext cx="612000" cy="14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Serbia D1</a:t>
          </a:r>
          <a:endParaRPr lang="it-IT" sz="6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37</xdr:col>
      <xdr:colOff>114301</xdr:colOff>
      <xdr:row>19</xdr:row>
      <xdr:rowOff>171450</xdr:rowOff>
    </xdr:from>
    <xdr:to>
      <xdr:col>39</xdr:col>
      <xdr:colOff>228601</xdr:colOff>
      <xdr:row>21</xdr:row>
      <xdr:rowOff>171450</xdr:rowOff>
    </xdr:to>
    <xdr:sp macro="[0]!Makro1" textlink="">
      <xdr:nvSpPr>
        <xdr:cNvPr id="188" name="Dikdörtgen 7">
          <a:extLst>
            <a:ext uri="{FF2B5EF4-FFF2-40B4-BE49-F238E27FC236}">
              <a16:creationId xmlns:a16="http://schemas.microsoft.com/office/drawing/2014/main" id="{ECE063C1-2634-46F2-B616-4A4CB777E89C}"/>
            </a:ext>
          </a:extLst>
        </xdr:cNvPr>
        <xdr:cNvSpPr/>
      </xdr:nvSpPr>
      <xdr:spPr>
        <a:xfrm>
          <a:off x="7067551" y="3790950"/>
          <a:ext cx="1295400" cy="381000"/>
        </a:xfrm>
        <a:prstGeom prst="rect">
          <a:avLst/>
        </a:prstGeom>
        <a:solidFill>
          <a:schemeClr val="accent2"/>
        </a:solidFill>
        <a:ln w="635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400" b="1">
              <a:solidFill>
                <a:sysClr val="windowText" lastClr="000000"/>
              </a:solidFill>
            </a:rPr>
            <a:t>Вставить</a:t>
          </a:r>
          <a:endParaRPr lang="tr-TR" sz="9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ccerstat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W21"/>
  <sheetViews>
    <sheetView showGridLines="0" showRowColHeaders="0" tabSelected="1" zoomScaleNormal="100" workbookViewId="0">
      <selection activeCell="B31" sqref="B29:B31"/>
    </sheetView>
  </sheetViews>
  <sheetFormatPr defaultColWidth="8.85546875" defaultRowHeight="15" customHeight="1" x14ac:dyDescent="0.2"/>
  <cols>
    <col min="1" max="1" width="2.7109375" style="4" customWidth="1"/>
    <col min="2" max="2" width="21.7109375" style="4" customWidth="1"/>
    <col min="3" max="6" width="6.7109375" style="4" customWidth="1"/>
    <col min="7" max="7" width="4.7109375" style="4" customWidth="1"/>
    <col min="8" max="13" width="8.7109375" style="4" customWidth="1"/>
    <col min="14" max="14" width="4.7109375" style="4" customWidth="1"/>
    <col min="15" max="15" width="8.85546875" style="4"/>
    <col min="16" max="16" width="4.7109375" style="13" customWidth="1"/>
    <col min="17" max="17" width="2.7109375" style="4" customWidth="1"/>
    <col min="18" max="18" width="4.7109375" style="4" customWidth="1"/>
    <col min="19" max="19" width="2.7109375" style="4" customWidth="1"/>
    <col min="20" max="16384" width="8.85546875" style="4"/>
  </cols>
  <sheetData>
    <row r="2" spans="2:23" ht="15" customHeight="1" x14ac:dyDescent="0.2">
      <c r="B2" s="105" t="s">
        <v>38</v>
      </c>
      <c r="C2" s="106"/>
      <c r="D2" s="106"/>
      <c r="E2" s="106"/>
      <c r="F2" s="107"/>
      <c r="G2" s="76"/>
      <c r="H2" s="105" t="s">
        <v>49</v>
      </c>
      <c r="I2" s="106"/>
      <c r="J2" s="106"/>
      <c r="K2" s="106"/>
      <c r="L2" s="106"/>
      <c r="M2" s="107"/>
      <c r="O2" s="71"/>
      <c r="P2" s="71"/>
      <c r="Q2" s="71"/>
      <c r="R2" s="71"/>
    </row>
    <row r="3" spans="2:23" ht="15" customHeight="1" x14ac:dyDescent="0.2">
      <c r="B3" s="75" t="s">
        <v>39</v>
      </c>
      <c r="C3" s="108" t="s">
        <v>178</v>
      </c>
      <c r="D3" s="109"/>
      <c r="E3" s="110" t="s">
        <v>180</v>
      </c>
      <c r="F3" s="111"/>
      <c r="G3" s="76"/>
      <c r="H3" s="113" t="s">
        <v>50</v>
      </c>
      <c r="I3" s="113" t="s">
        <v>51</v>
      </c>
      <c r="J3" s="113" t="s">
        <v>1</v>
      </c>
      <c r="K3" s="113" t="s">
        <v>52</v>
      </c>
      <c r="L3" s="113" t="s">
        <v>53</v>
      </c>
      <c r="M3" s="113" t="s">
        <v>54</v>
      </c>
      <c r="N3" s="74"/>
      <c r="O3" s="72"/>
      <c r="P3" s="72"/>
      <c r="Q3" s="72"/>
      <c r="R3" s="72"/>
    </row>
    <row r="4" spans="2:23" ht="15" customHeight="1" x14ac:dyDescent="0.2">
      <c r="B4" s="5" t="s">
        <v>40</v>
      </c>
      <c r="C4" s="103">
        <f>VLOOKUP(C3,'League Table'!B2:AF50,30,FALSE)</f>
        <v>3</v>
      </c>
      <c r="D4" s="104"/>
      <c r="E4" s="103">
        <f>VLOOKUP(E3,'League Table'!B2:AF50,30,FALSE)</f>
        <v>3</v>
      </c>
      <c r="F4" s="104"/>
      <c r="G4" s="76"/>
      <c r="H4" s="114"/>
      <c r="I4" s="114"/>
      <c r="J4" s="114"/>
      <c r="K4" s="114"/>
      <c r="L4" s="114"/>
      <c r="M4" s="114"/>
      <c r="O4" s="51"/>
      <c r="P4" s="52"/>
    </row>
    <row r="5" spans="2:23" ht="15" customHeight="1" x14ac:dyDescent="0.2">
      <c r="B5" s="5" t="s">
        <v>41</v>
      </c>
      <c r="C5" s="103">
        <f>VLOOKUP(C3,'League Table'!B2:AF50,31,FALSE)</f>
        <v>4</v>
      </c>
      <c r="D5" s="104"/>
      <c r="E5" s="103">
        <f>VLOOKUP(E3,'League Table'!B2:AF50,31,FALSE)</f>
        <v>4</v>
      </c>
      <c r="F5" s="104"/>
      <c r="G5" s="76"/>
      <c r="H5" s="6">
        <f>SUM('League Table'!C3:C50)</f>
        <v>122</v>
      </c>
      <c r="I5" s="7">
        <f>'League Table'!AH3/'League Table'!AK3</f>
        <v>0.34426229508196721</v>
      </c>
      <c r="J5" s="7">
        <f>'League Table'!AI3/'League Table'!AK3</f>
        <v>0.22950819672131148</v>
      </c>
      <c r="K5" s="7">
        <f>'League Table'!AJ3/'League Table'!AK3</f>
        <v>0.42622950819672129</v>
      </c>
      <c r="L5" s="8">
        <f>'League Table'!AH7</f>
        <v>1.5737704918032787</v>
      </c>
      <c r="M5" s="8">
        <f>'League Table'!AI7</f>
        <v>1.540983606557377</v>
      </c>
      <c r="O5" s="51"/>
      <c r="P5" s="53"/>
      <c r="U5" s="69"/>
      <c r="V5" s="98"/>
      <c r="W5" s="99"/>
    </row>
    <row r="6" spans="2:23" ht="15" customHeight="1" x14ac:dyDescent="0.2">
      <c r="B6" s="5" t="s">
        <v>42</v>
      </c>
      <c r="C6" s="103">
        <f>IF(AND(C4="",C5=""),"",(C4+C5))</f>
        <v>7</v>
      </c>
      <c r="D6" s="104"/>
      <c r="E6" s="103">
        <f>IF(AND(E4="",E5=""),"",(E4+E5))</f>
        <v>7</v>
      </c>
      <c r="F6" s="104"/>
      <c r="G6" s="76"/>
      <c r="U6" s="73"/>
      <c r="V6" s="73"/>
      <c r="W6" s="73"/>
    </row>
    <row r="7" spans="2:23" ht="15" customHeight="1" x14ac:dyDescent="0.2">
      <c r="B7" s="5" t="s">
        <v>43</v>
      </c>
      <c r="C7" s="103">
        <f>VLOOKUP(C3,'League Table'!B2:AF50,16,FALSE)</f>
        <v>6</v>
      </c>
      <c r="D7" s="104"/>
      <c r="E7" s="103">
        <f>VLOOKUP(E3,'League Table'!B2:AF50,16,FALSE)</f>
        <v>4</v>
      </c>
      <c r="F7" s="104"/>
      <c r="G7" s="76"/>
      <c r="H7" s="108" t="str">
        <f>CONCATENATE(C3," - ",E3)</f>
        <v> St. Gilloise  -  Standard Liege </v>
      </c>
      <c r="I7" s="116"/>
      <c r="J7" s="116"/>
      <c r="K7" s="116"/>
      <c r="L7" s="116"/>
      <c r="M7" s="109"/>
      <c r="U7" s="69"/>
      <c r="V7" s="90"/>
      <c r="W7" s="90"/>
    </row>
    <row r="8" spans="2:23" ht="15" customHeight="1" x14ac:dyDescent="0.2">
      <c r="B8" s="5" t="s">
        <v>44</v>
      </c>
      <c r="C8" s="103">
        <f>VLOOKUP(C3,'League Table'!B2:AF50,25,FALSE)</f>
        <v>8</v>
      </c>
      <c r="D8" s="104"/>
      <c r="E8" s="103">
        <f>VLOOKUP(E3,'League Table'!B2:AF50,25,FALSE)</f>
        <v>4</v>
      </c>
      <c r="F8" s="104"/>
      <c r="G8" s="76"/>
      <c r="H8" s="113" t="s">
        <v>50</v>
      </c>
      <c r="I8" s="113" t="s">
        <v>51</v>
      </c>
      <c r="J8" s="113" t="s">
        <v>1</v>
      </c>
      <c r="K8" s="113" t="s">
        <v>52</v>
      </c>
      <c r="L8" s="113" t="s">
        <v>163</v>
      </c>
      <c r="M8" s="113" t="s">
        <v>164</v>
      </c>
    </row>
    <row r="9" spans="2:23" ht="15" customHeight="1" x14ac:dyDescent="0.2">
      <c r="B9" s="5" t="s">
        <v>45</v>
      </c>
      <c r="C9" s="103">
        <f>IF(AND(C7="",C8=""),"",(C7+C8))</f>
        <v>14</v>
      </c>
      <c r="D9" s="104"/>
      <c r="E9" s="103">
        <f>IF(AND(E7="",E8=""),"",(E7+E8))</f>
        <v>8</v>
      </c>
      <c r="F9" s="104"/>
      <c r="G9" s="76"/>
      <c r="H9" s="114"/>
      <c r="I9" s="114"/>
      <c r="J9" s="114"/>
      <c r="K9" s="114"/>
      <c r="L9" s="114"/>
      <c r="M9" s="114"/>
      <c r="N9" s="14"/>
    </row>
    <row r="10" spans="2:23" ht="15" customHeight="1" x14ac:dyDescent="0.2">
      <c r="B10" s="5" t="s">
        <v>46</v>
      </c>
      <c r="C10" s="103">
        <f>VLOOKUP(C3,'League Table'!B2:AF50,17,FALSE)</f>
        <v>1</v>
      </c>
      <c r="D10" s="104"/>
      <c r="E10" s="103">
        <f>VLOOKUP(E3,'League Table'!B2:AF50,17,FALSE)</f>
        <v>6</v>
      </c>
      <c r="F10" s="104"/>
      <c r="G10" s="76"/>
      <c r="H10" s="6">
        <f>'League Table'!AP1</f>
        <v>14</v>
      </c>
      <c r="I10" s="56">
        <f>'1'!AC6</f>
        <v>0.82955907572725829</v>
      </c>
      <c r="J10" s="56">
        <f>'1'!AD6</f>
        <v>0.15052422643797631</v>
      </c>
      <c r="K10" s="56">
        <f>'1'!AE6</f>
        <v>1.9916697834765351E-2</v>
      </c>
      <c r="L10" s="55">
        <f>C16</f>
        <v>2.0187717013888888</v>
      </c>
      <c r="M10" s="55">
        <f>E16</f>
        <v>0.14037271767013731</v>
      </c>
    </row>
    <row r="11" spans="2:23" ht="15" customHeight="1" x14ac:dyDescent="0.2">
      <c r="B11" s="5" t="s">
        <v>47</v>
      </c>
      <c r="C11" s="103">
        <f>VLOOKUP(C3,'League Table'!B2:AF50,26,FALSE)</f>
        <v>5</v>
      </c>
      <c r="D11" s="104"/>
      <c r="E11" s="103">
        <f>VLOOKUP(E3,'League Table'!B2:AF50,26,FALSE)</f>
        <v>5</v>
      </c>
      <c r="F11" s="104"/>
      <c r="G11" s="76"/>
      <c r="H11" s="14"/>
      <c r="I11" s="2"/>
      <c r="J11" s="2"/>
      <c r="K11" s="2"/>
      <c r="L11" s="2"/>
      <c r="M11" s="2"/>
    </row>
    <row r="12" spans="2:23" ht="15" customHeight="1" x14ac:dyDescent="0.2">
      <c r="B12" s="9" t="s">
        <v>48</v>
      </c>
      <c r="C12" s="103">
        <f>IF(AND(C10="",C11=""),"",(C10+C11))</f>
        <v>6</v>
      </c>
      <c r="D12" s="104"/>
      <c r="E12" s="103">
        <f>IF(AND(E10="",E11=""),"",(E10+E11))</f>
        <v>11</v>
      </c>
      <c r="F12" s="104"/>
      <c r="G12" s="76"/>
      <c r="H12" s="100" t="s">
        <v>169</v>
      </c>
      <c r="I12" s="101"/>
      <c r="J12" s="102"/>
      <c r="K12" s="71"/>
      <c r="L12" s="98"/>
      <c r="M12" s="99"/>
    </row>
    <row r="13" spans="2:23" ht="15" customHeight="1" x14ac:dyDescent="0.2">
      <c r="B13" s="105" t="s">
        <v>57</v>
      </c>
      <c r="C13" s="106"/>
      <c r="D13" s="106"/>
      <c r="E13" s="106"/>
      <c r="F13" s="107"/>
      <c r="G13" s="76"/>
      <c r="H13" s="48" t="str">
        <f>'2'!Q39</f>
        <v>2:0</v>
      </c>
      <c r="I13" s="49" t="s">
        <v>159</v>
      </c>
      <c r="J13" s="50" t="str">
        <f>'2'!Q40</f>
        <v>1:0</v>
      </c>
      <c r="K13" s="72"/>
      <c r="L13" s="70"/>
      <c r="M13" s="70"/>
    </row>
    <row r="14" spans="2:23" ht="15" customHeight="1" x14ac:dyDescent="0.2">
      <c r="B14" s="10" t="s">
        <v>58</v>
      </c>
      <c r="C14" s="112">
        <f>(C7/C4)/L5</f>
        <v>1.2708333333333333</v>
      </c>
      <c r="D14" s="112"/>
      <c r="E14" s="112">
        <f>(E8/E5)/M5</f>
        <v>0.64893617021276595</v>
      </c>
      <c r="F14" s="112"/>
      <c r="G14" s="76"/>
      <c r="H14" s="14"/>
      <c r="I14" s="14"/>
      <c r="J14" s="14"/>
      <c r="K14" s="69"/>
      <c r="L14" s="90"/>
      <c r="M14" s="90"/>
    </row>
    <row r="15" spans="2:23" ht="15" customHeight="1" x14ac:dyDescent="0.2">
      <c r="B15" s="11" t="s">
        <v>59</v>
      </c>
      <c r="C15" s="115">
        <f>(C10/C4)/M5</f>
        <v>0.21631205673758866</v>
      </c>
      <c r="D15" s="115"/>
      <c r="E15" s="115">
        <f>(E11/E5)/L5</f>
        <v>0.79427083333333337</v>
      </c>
      <c r="F15" s="115"/>
      <c r="G15" s="76"/>
      <c r="H15" s="91" t="s">
        <v>167</v>
      </c>
      <c r="I15" s="92" t="s">
        <v>168</v>
      </c>
      <c r="J15" s="93"/>
      <c r="K15" s="93"/>
      <c r="L15" s="93"/>
      <c r="M15" s="94"/>
    </row>
    <row r="16" spans="2:23" ht="15" customHeight="1" x14ac:dyDescent="0.2">
      <c r="B16" s="12" t="s">
        <v>60</v>
      </c>
      <c r="C16" s="112">
        <f>C14*E15*(C7/C4)</f>
        <v>2.0187717013888888</v>
      </c>
      <c r="D16" s="112"/>
      <c r="E16" s="112">
        <f>E14*C15*(E8/E5)</f>
        <v>0.14037271767013731</v>
      </c>
      <c r="F16" s="112"/>
      <c r="G16" s="76"/>
      <c r="H16" s="91"/>
      <c r="I16" s="95"/>
      <c r="J16" s="96"/>
      <c r="K16" s="96"/>
      <c r="L16" s="96"/>
      <c r="M16" s="97"/>
    </row>
    <row r="17" spans="2:13" ht="15" customHeight="1" x14ac:dyDescent="0.2">
      <c r="H17" s="69"/>
      <c r="I17" s="90"/>
      <c r="J17" s="90"/>
    </row>
    <row r="18" spans="2:13" ht="15" customHeight="1" x14ac:dyDescent="0.2">
      <c r="B18" s="81" t="s">
        <v>170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3"/>
    </row>
    <row r="19" spans="2:13" ht="15" customHeight="1" x14ac:dyDescent="0.2">
      <c r="B19" s="84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6"/>
    </row>
    <row r="20" spans="2:13" ht="15" customHeight="1" x14ac:dyDescent="0.2">
      <c r="B20" s="84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6"/>
    </row>
    <row r="21" spans="2:13" ht="15" customHeight="1" x14ac:dyDescent="0.2">
      <c r="B21" s="87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9"/>
    </row>
  </sheetData>
  <mergeCells count="51">
    <mergeCell ref="L12:M12"/>
    <mergeCell ref="L14:M14"/>
    <mergeCell ref="H7:M7"/>
    <mergeCell ref="H8:H9"/>
    <mergeCell ref="I8:I9"/>
    <mergeCell ref="J8:J9"/>
    <mergeCell ref="K8:K9"/>
    <mergeCell ref="L8:L9"/>
    <mergeCell ref="M8:M9"/>
    <mergeCell ref="B13:F13"/>
    <mergeCell ref="C14:D14"/>
    <mergeCell ref="E14:F14"/>
    <mergeCell ref="C15:D15"/>
    <mergeCell ref="E15:F15"/>
    <mergeCell ref="C16:D16"/>
    <mergeCell ref="E16:F16"/>
    <mergeCell ref="H2:M2"/>
    <mergeCell ref="H3:H4"/>
    <mergeCell ref="I3:I4"/>
    <mergeCell ref="J3:J4"/>
    <mergeCell ref="K3:K4"/>
    <mergeCell ref="L3:L4"/>
    <mergeCell ref="M3:M4"/>
    <mergeCell ref="C10:D10"/>
    <mergeCell ref="E10:F10"/>
    <mergeCell ref="C11:D11"/>
    <mergeCell ref="E11:F11"/>
    <mergeCell ref="C12:D12"/>
    <mergeCell ref="E12:F12"/>
    <mergeCell ref="C9:D9"/>
    <mergeCell ref="B2:F2"/>
    <mergeCell ref="C3:D3"/>
    <mergeCell ref="E3:F3"/>
    <mergeCell ref="C4:D4"/>
    <mergeCell ref="E4:F4"/>
    <mergeCell ref="B18:M21"/>
    <mergeCell ref="I17:J17"/>
    <mergeCell ref="H15:H16"/>
    <mergeCell ref="I15:M16"/>
    <mergeCell ref="V5:W5"/>
    <mergeCell ref="V7:W7"/>
    <mergeCell ref="H12:J12"/>
    <mergeCell ref="C5:D5"/>
    <mergeCell ref="E5:F5"/>
    <mergeCell ref="E9:F9"/>
    <mergeCell ref="C6:D6"/>
    <mergeCell ref="E6:F6"/>
    <mergeCell ref="C7:D7"/>
    <mergeCell ref="E7:F7"/>
    <mergeCell ref="C8:D8"/>
    <mergeCell ref="E8:F8"/>
  </mergeCells>
  <conditionalFormatting sqref="C14:F15">
    <cfRule type="colorScale" priority="2">
      <colorScale>
        <cfvo type="num" val="0.5"/>
        <cfvo type="num" val="1"/>
        <cfvo type="num" val="1.5"/>
        <color rgb="FFF8696B"/>
        <color rgb="FFFCFCFF"/>
        <color rgb="FF63BE7B"/>
      </colorScale>
    </cfRule>
  </conditionalFormatting>
  <hyperlinks>
    <hyperlink ref="I15" r:id="rId1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'League Table'!$B$3:$B$50</xm:f>
          </x14:formula1>
          <xm:sqref>C3:F3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P22"/>
  <sheetViews>
    <sheetView showGridLines="0" showRowColHeaders="0" zoomScaleNormal="100" workbookViewId="0">
      <selection activeCell="G24" sqref="G24"/>
    </sheetView>
  </sheetViews>
  <sheetFormatPr defaultColWidth="8.85546875" defaultRowHeight="15" customHeight="1" x14ac:dyDescent="0.25"/>
  <cols>
    <col min="1" max="1" width="3.7109375" style="3" customWidth="1"/>
    <col min="2" max="2" width="15.7109375" style="1" customWidth="1"/>
    <col min="3" max="10" width="4.7109375" style="1" customWidth="1"/>
    <col min="11" max="11" width="4.7109375" style="1" hidden="1" customWidth="1"/>
    <col min="12" max="12" width="4.7109375" style="2" hidden="1" customWidth="1"/>
    <col min="13" max="13" width="4.7109375" style="1" hidden="1" customWidth="1"/>
    <col min="14" max="18" width="4.7109375" style="1" customWidth="1"/>
    <col min="19" max="22" width="8.85546875" style="1" hidden="1" customWidth="1"/>
    <col min="23" max="27" width="4.7109375" style="1" customWidth="1"/>
    <col min="28" max="37" width="0" style="3" hidden="1" customWidth="1"/>
    <col min="38" max="41" width="8.85546875" style="3"/>
    <col min="42" max="42" width="0" style="3" hidden="1" customWidth="1"/>
    <col min="43" max="16384" width="8.85546875" style="3"/>
  </cols>
  <sheetData>
    <row r="1" spans="1:42" ht="15" customHeight="1" x14ac:dyDescent="0.25">
      <c r="A1" s="117" t="s">
        <v>2</v>
      </c>
      <c r="B1" s="117"/>
      <c r="C1" s="117"/>
      <c r="D1" s="117"/>
      <c r="E1" s="117"/>
      <c r="F1" s="117"/>
      <c r="G1" s="117"/>
      <c r="H1" s="117"/>
      <c r="I1" s="117"/>
      <c r="J1" s="117"/>
      <c r="K1" s="64"/>
      <c r="L1" s="65" t="s">
        <v>3</v>
      </c>
      <c r="M1" s="64"/>
      <c r="N1" s="118" t="s">
        <v>3</v>
      </c>
      <c r="O1" s="118"/>
      <c r="P1" s="118"/>
      <c r="Q1" s="118"/>
      <c r="R1" s="118"/>
      <c r="S1" s="64"/>
      <c r="T1" s="64"/>
      <c r="U1" s="64" t="s">
        <v>4</v>
      </c>
      <c r="V1" s="64"/>
      <c r="W1" s="118" t="s">
        <v>4</v>
      </c>
      <c r="X1" s="118"/>
      <c r="Y1" s="118"/>
      <c r="Z1" s="118"/>
      <c r="AA1" s="118"/>
      <c r="AP1" s="1">
        <f>SUM(Analysis!C4:F5)</f>
        <v>14</v>
      </c>
    </row>
    <row r="2" spans="1:42" ht="15" customHeight="1" x14ac:dyDescent="0.25">
      <c r="A2" s="66" t="s">
        <v>166</v>
      </c>
      <c r="B2" s="67" t="s">
        <v>5</v>
      </c>
      <c r="C2" s="67" t="s">
        <v>0</v>
      </c>
      <c r="D2" s="67" t="s">
        <v>6</v>
      </c>
      <c r="E2" s="67" t="s">
        <v>7</v>
      </c>
      <c r="F2" s="67" t="s">
        <v>8</v>
      </c>
      <c r="G2" s="67" t="s">
        <v>9</v>
      </c>
      <c r="H2" s="67" t="s">
        <v>10</v>
      </c>
      <c r="I2" s="67" t="s">
        <v>11</v>
      </c>
      <c r="J2" s="67" t="s">
        <v>12</v>
      </c>
      <c r="K2" s="67"/>
      <c r="L2" s="68" t="s">
        <v>13</v>
      </c>
      <c r="M2" s="67"/>
      <c r="N2" s="67" t="s">
        <v>14</v>
      </c>
      <c r="O2" s="67" t="s">
        <v>15</v>
      </c>
      <c r="P2" s="67" t="s">
        <v>16</v>
      </c>
      <c r="Q2" s="67" t="s">
        <v>17</v>
      </c>
      <c r="R2" s="67" t="s">
        <v>18</v>
      </c>
      <c r="S2" s="67"/>
      <c r="T2" s="67" t="s">
        <v>19</v>
      </c>
      <c r="U2" s="67" t="s">
        <v>20</v>
      </c>
      <c r="V2" s="67"/>
      <c r="W2" s="67" t="s">
        <v>21</v>
      </c>
      <c r="X2" s="67" t="s">
        <v>22</v>
      </c>
      <c r="Y2" s="67" t="s">
        <v>23</v>
      </c>
      <c r="Z2" s="67" t="s">
        <v>24</v>
      </c>
      <c r="AA2" s="67" t="s">
        <v>25</v>
      </c>
    </row>
    <row r="3" spans="1:42" ht="15" customHeight="1" x14ac:dyDescent="0.25">
      <c r="A3" s="80" t="s">
        <v>26</v>
      </c>
      <c r="B3" s="1" t="s">
        <v>177</v>
      </c>
      <c r="C3" s="1">
        <v>7</v>
      </c>
      <c r="D3" s="1">
        <v>4</v>
      </c>
      <c r="E3" s="1">
        <v>2</v>
      </c>
      <c r="F3" s="1">
        <v>1</v>
      </c>
      <c r="G3" s="1">
        <v>15</v>
      </c>
      <c r="H3" s="1">
        <v>11</v>
      </c>
      <c r="I3" s="1">
        <v>4</v>
      </c>
      <c r="J3" s="1">
        <v>14</v>
      </c>
      <c r="L3" s="2">
        <v>8.3333333333333329E-2</v>
      </c>
      <c r="N3" s="1">
        <v>2</v>
      </c>
      <c r="O3" s="1">
        <v>2</v>
      </c>
      <c r="P3" s="1">
        <v>0</v>
      </c>
      <c r="Q3" s="1">
        <v>9</v>
      </c>
      <c r="R3" s="1">
        <v>5</v>
      </c>
      <c r="W3" s="1">
        <v>2</v>
      </c>
      <c r="X3" s="1">
        <v>0</v>
      </c>
      <c r="Y3" s="1">
        <v>1</v>
      </c>
      <c r="Z3" s="1">
        <v>6</v>
      </c>
      <c r="AA3" s="1">
        <v>6</v>
      </c>
      <c r="AE3" s="1">
        <f>SUM(N3:P3)</f>
        <v>4</v>
      </c>
      <c r="AF3" s="1">
        <f>SUM(W3:Y3)</f>
        <v>3</v>
      </c>
      <c r="AG3" s="1" t="s">
        <v>3</v>
      </c>
      <c r="AH3" s="1">
        <f>SUM('League Table'!N3:N50)</f>
        <v>21</v>
      </c>
      <c r="AI3" s="1">
        <f>SUM('League Table'!O3:O50)</f>
        <v>14</v>
      </c>
      <c r="AJ3" s="1">
        <f>SUM('League Table'!P3:P50)</f>
        <v>26</v>
      </c>
      <c r="AK3" s="1">
        <f>SUM(AH3:AJ3)</f>
        <v>61</v>
      </c>
    </row>
    <row r="4" spans="1:42" ht="15" customHeight="1" x14ac:dyDescent="0.25">
      <c r="A4" s="3" t="s">
        <v>29</v>
      </c>
      <c r="B4" s="1" t="s">
        <v>178</v>
      </c>
      <c r="C4" s="1">
        <v>7</v>
      </c>
      <c r="D4" s="1">
        <v>4</v>
      </c>
      <c r="E4" s="1">
        <v>1</v>
      </c>
      <c r="F4" s="1">
        <v>2</v>
      </c>
      <c r="G4" s="1">
        <v>14</v>
      </c>
      <c r="H4" s="1">
        <v>6</v>
      </c>
      <c r="I4" s="1">
        <v>8</v>
      </c>
      <c r="J4" s="1">
        <v>13</v>
      </c>
      <c r="L4" s="2">
        <v>0.1013888888888889</v>
      </c>
      <c r="N4" s="1">
        <v>2</v>
      </c>
      <c r="O4" s="1">
        <v>0</v>
      </c>
      <c r="P4" s="1">
        <v>1</v>
      </c>
      <c r="Q4" s="1">
        <v>6</v>
      </c>
      <c r="R4" s="1">
        <v>1</v>
      </c>
      <c r="W4" s="1">
        <v>2</v>
      </c>
      <c r="X4" s="1">
        <v>1</v>
      </c>
      <c r="Y4" s="1">
        <v>1</v>
      </c>
      <c r="Z4" s="1">
        <v>8</v>
      </c>
      <c r="AA4" s="1">
        <v>5</v>
      </c>
      <c r="AE4" s="1">
        <f t="shared" ref="AE4:AE22" si="0">SUM(N4:P4)</f>
        <v>3</v>
      </c>
      <c r="AF4" s="1">
        <f t="shared" ref="AF4:AF22" si="1">SUM(W4:Y4)</f>
        <v>4</v>
      </c>
      <c r="AG4" s="1" t="s">
        <v>4</v>
      </c>
      <c r="AH4" s="1">
        <f>SUM(W3:W50)</f>
        <v>26</v>
      </c>
      <c r="AI4" s="1">
        <f>SUM(X3:X50)</f>
        <v>14</v>
      </c>
      <c r="AJ4" s="1">
        <f>SUM(Y3:Y50)</f>
        <v>21</v>
      </c>
      <c r="AK4" s="1">
        <f>SUM(AH4:AJ4)</f>
        <v>61</v>
      </c>
    </row>
    <row r="5" spans="1:42" ht="15" customHeight="1" x14ac:dyDescent="0.25">
      <c r="A5" s="3" t="s">
        <v>33</v>
      </c>
      <c r="B5" s="1" t="s">
        <v>179</v>
      </c>
      <c r="C5" s="1">
        <v>7</v>
      </c>
      <c r="D5" s="1">
        <v>3</v>
      </c>
      <c r="E5" s="1">
        <v>4</v>
      </c>
      <c r="F5" s="1">
        <v>0</v>
      </c>
      <c r="G5" s="1">
        <v>15</v>
      </c>
      <c r="H5" s="1">
        <v>8</v>
      </c>
      <c r="I5" s="1">
        <v>7</v>
      </c>
      <c r="J5" s="1">
        <v>13</v>
      </c>
      <c r="L5" s="2">
        <v>0.1013888888888889</v>
      </c>
      <c r="N5" s="1">
        <v>1</v>
      </c>
      <c r="O5" s="1">
        <v>2</v>
      </c>
      <c r="P5" s="1">
        <v>0</v>
      </c>
      <c r="Q5" s="1">
        <v>6</v>
      </c>
      <c r="R5" s="1">
        <v>3</v>
      </c>
      <c r="W5" s="1">
        <v>2</v>
      </c>
      <c r="X5" s="1">
        <v>2</v>
      </c>
      <c r="Y5" s="1">
        <v>0</v>
      </c>
      <c r="Z5" s="1">
        <v>9</v>
      </c>
      <c r="AA5" s="1">
        <v>5</v>
      </c>
      <c r="AE5" s="1">
        <f t="shared" si="0"/>
        <v>3</v>
      </c>
      <c r="AF5" s="1">
        <f t="shared" si="1"/>
        <v>4</v>
      </c>
      <c r="AG5" s="1" t="s">
        <v>3</v>
      </c>
      <c r="AH5" s="3" t="s">
        <v>55</v>
      </c>
      <c r="AI5" s="3" t="s">
        <v>56</v>
      </c>
      <c r="AK5" s="1">
        <f>SUM(AK3:AK4)</f>
        <v>122</v>
      </c>
    </row>
    <row r="6" spans="1:42" ht="15" customHeight="1" x14ac:dyDescent="0.25">
      <c r="A6" s="3" t="s">
        <v>30</v>
      </c>
      <c r="B6" s="1" t="s">
        <v>180</v>
      </c>
      <c r="C6" s="1">
        <v>7</v>
      </c>
      <c r="D6" s="1">
        <v>4</v>
      </c>
      <c r="E6" s="1">
        <v>1</v>
      </c>
      <c r="F6" s="1">
        <v>2</v>
      </c>
      <c r="G6" s="1">
        <v>8</v>
      </c>
      <c r="H6" s="1">
        <v>11</v>
      </c>
      <c r="I6" s="1">
        <v>-3</v>
      </c>
      <c r="J6" s="1">
        <v>13</v>
      </c>
      <c r="L6" s="2">
        <v>0.1013888888888889</v>
      </c>
      <c r="N6" s="1">
        <v>1</v>
      </c>
      <c r="O6" s="1">
        <v>1</v>
      </c>
      <c r="P6" s="1">
        <v>1</v>
      </c>
      <c r="Q6" s="1">
        <v>4</v>
      </c>
      <c r="R6" s="1">
        <v>6</v>
      </c>
      <c r="W6" s="1">
        <v>3</v>
      </c>
      <c r="X6" s="1">
        <v>0</v>
      </c>
      <c r="Y6" s="1">
        <v>1</v>
      </c>
      <c r="Z6" s="1">
        <v>4</v>
      </c>
      <c r="AA6" s="1">
        <v>5</v>
      </c>
      <c r="AE6" s="1">
        <f t="shared" si="0"/>
        <v>3</v>
      </c>
      <c r="AF6" s="1">
        <f t="shared" si="1"/>
        <v>4</v>
      </c>
      <c r="AG6" s="1"/>
      <c r="AH6" s="1">
        <f>SUM(Q3:Q50)</f>
        <v>96</v>
      </c>
      <c r="AI6" s="1">
        <f>SUM(R3:R50)</f>
        <v>94</v>
      </c>
    </row>
    <row r="7" spans="1:42" ht="15" customHeight="1" x14ac:dyDescent="0.25">
      <c r="A7" s="3" t="s">
        <v>31</v>
      </c>
      <c r="B7" s="1" t="s">
        <v>181</v>
      </c>
      <c r="C7" s="1">
        <v>6</v>
      </c>
      <c r="D7" s="1">
        <v>3</v>
      </c>
      <c r="E7" s="1">
        <v>2</v>
      </c>
      <c r="F7" s="1">
        <v>1</v>
      </c>
      <c r="G7" s="1">
        <v>12</v>
      </c>
      <c r="H7" s="1">
        <v>7</v>
      </c>
      <c r="I7" s="1">
        <v>5</v>
      </c>
      <c r="J7" s="1">
        <v>11</v>
      </c>
      <c r="L7" s="2">
        <v>9.930555555555555E-2</v>
      </c>
      <c r="N7" s="1">
        <v>2</v>
      </c>
      <c r="O7" s="1">
        <v>1</v>
      </c>
      <c r="P7" s="1">
        <v>1</v>
      </c>
      <c r="Q7" s="1">
        <v>9</v>
      </c>
      <c r="R7" s="1">
        <v>5</v>
      </c>
      <c r="W7" s="1">
        <v>1</v>
      </c>
      <c r="X7" s="1">
        <v>1</v>
      </c>
      <c r="Y7" s="1">
        <v>0</v>
      </c>
      <c r="Z7" s="1">
        <v>3</v>
      </c>
      <c r="AA7" s="1">
        <v>2</v>
      </c>
      <c r="AE7" s="1">
        <f t="shared" si="0"/>
        <v>4</v>
      </c>
      <c r="AF7" s="1">
        <f t="shared" si="1"/>
        <v>2</v>
      </c>
      <c r="AG7" s="1"/>
      <c r="AH7" s="2">
        <f>AH6/AK3</f>
        <v>1.5737704918032787</v>
      </c>
      <c r="AI7" s="2">
        <f>AI6/AK3</f>
        <v>1.540983606557377</v>
      </c>
    </row>
    <row r="8" spans="1:42" ht="15" customHeight="1" x14ac:dyDescent="0.25">
      <c r="A8" s="3" t="s">
        <v>28</v>
      </c>
      <c r="B8" s="1" t="s">
        <v>182</v>
      </c>
      <c r="C8" s="1">
        <v>7</v>
      </c>
      <c r="D8" s="1">
        <v>3</v>
      </c>
      <c r="E8" s="1">
        <v>2</v>
      </c>
      <c r="F8" s="1">
        <v>2</v>
      </c>
      <c r="G8" s="1">
        <v>13</v>
      </c>
      <c r="H8" s="1">
        <v>9</v>
      </c>
      <c r="I8" s="1">
        <v>4</v>
      </c>
      <c r="J8" s="1">
        <v>11</v>
      </c>
      <c r="L8" s="2">
        <v>8.1250000000000003E-2</v>
      </c>
      <c r="N8" s="1">
        <v>1</v>
      </c>
      <c r="O8" s="1">
        <v>1</v>
      </c>
      <c r="P8" s="1">
        <v>2</v>
      </c>
      <c r="Q8" s="1">
        <v>4</v>
      </c>
      <c r="R8" s="1">
        <v>5</v>
      </c>
      <c r="W8" s="1">
        <v>2</v>
      </c>
      <c r="X8" s="1">
        <v>1</v>
      </c>
      <c r="Y8" s="1">
        <v>0</v>
      </c>
      <c r="Z8" s="1">
        <v>9</v>
      </c>
      <c r="AA8" s="1">
        <v>4</v>
      </c>
      <c r="AE8" s="1">
        <f t="shared" si="0"/>
        <v>4</v>
      </c>
      <c r="AF8" s="1">
        <f t="shared" si="1"/>
        <v>3</v>
      </c>
      <c r="AG8" s="1"/>
    </row>
    <row r="9" spans="1:42" ht="15" customHeight="1" x14ac:dyDescent="0.25">
      <c r="A9" s="3" t="s">
        <v>35</v>
      </c>
      <c r="B9" s="1" t="s">
        <v>183</v>
      </c>
      <c r="C9" s="1">
        <v>7</v>
      </c>
      <c r="D9" s="1">
        <v>3</v>
      </c>
      <c r="E9" s="1">
        <v>1</v>
      </c>
      <c r="F9" s="1">
        <v>3</v>
      </c>
      <c r="G9" s="1">
        <v>9</v>
      </c>
      <c r="H9" s="1">
        <v>8</v>
      </c>
      <c r="I9" s="1">
        <v>1</v>
      </c>
      <c r="J9" s="1">
        <v>10</v>
      </c>
      <c r="L9" s="2">
        <v>7.1527777777777787E-2</v>
      </c>
      <c r="N9" s="1">
        <v>1</v>
      </c>
      <c r="O9" s="1">
        <v>1</v>
      </c>
      <c r="P9" s="1">
        <v>1</v>
      </c>
      <c r="Q9" s="1">
        <v>5</v>
      </c>
      <c r="R9" s="1">
        <v>4</v>
      </c>
      <c r="W9" s="1">
        <v>2</v>
      </c>
      <c r="X9" s="1">
        <v>0</v>
      </c>
      <c r="Y9" s="1">
        <v>2</v>
      </c>
      <c r="Z9" s="1">
        <v>4</v>
      </c>
      <c r="AA9" s="1">
        <v>4</v>
      </c>
      <c r="AE9" s="1">
        <f t="shared" si="0"/>
        <v>3</v>
      </c>
      <c r="AF9" s="1">
        <f t="shared" si="1"/>
        <v>4</v>
      </c>
      <c r="AG9" s="1"/>
    </row>
    <row r="10" spans="1:42" ht="15" customHeight="1" x14ac:dyDescent="0.25">
      <c r="A10" s="3" t="s">
        <v>36</v>
      </c>
      <c r="B10" s="1" t="s">
        <v>184</v>
      </c>
      <c r="C10" s="1">
        <v>6</v>
      </c>
      <c r="D10" s="1">
        <v>3</v>
      </c>
      <c r="E10" s="1">
        <v>1</v>
      </c>
      <c r="F10" s="1">
        <v>2</v>
      </c>
      <c r="G10" s="1">
        <v>14</v>
      </c>
      <c r="H10" s="1">
        <v>8</v>
      </c>
      <c r="I10" s="1">
        <v>6</v>
      </c>
      <c r="J10" s="1">
        <v>10</v>
      </c>
      <c r="L10" s="2">
        <v>8.819444444444445E-2</v>
      </c>
      <c r="N10" s="1">
        <v>2</v>
      </c>
      <c r="O10" s="1">
        <v>0</v>
      </c>
      <c r="P10" s="1">
        <v>1</v>
      </c>
      <c r="Q10" s="1">
        <v>11</v>
      </c>
      <c r="R10" s="1">
        <v>5</v>
      </c>
      <c r="W10" s="1">
        <v>1</v>
      </c>
      <c r="X10" s="1">
        <v>1</v>
      </c>
      <c r="Y10" s="1">
        <v>1</v>
      </c>
      <c r="Z10" s="1">
        <v>3</v>
      </c>
      <c r="AA10" s="1">
        <v>3</v>
      </c>
      <c r="AE10" s="1">
        <f t="shared" si="0"/>
        <v>3</v>
      </c>
      <c r="AF10" s="1">
        <f t="shared" si="1"/>
        <v>3</v>
      </c>
      <c r="AG10" s="1"/>
    </row>
    <row r="11" spans="1:42" ht="15" customHeight="1" x14ac:dyDescent="0.25">
      <c r="A11" s="3" t="s">
        <v>32</v>
      </c>
      <c r="B11" s="1" t="s">
        <v>185</v>
      </c>
      <c r="C11" s="1">
        <v>7</v>
      </c>
      <c r="D11" s="1">
        <v>3</v>
      </c>
      <c r="E11" s="1">
        <v>1</v>
      </c>
      <c r="F11" s="1">
        <v>3</v>
      </c>
      <c r="G11" s="1">
        <v>6</v>
      </c>
      <c r="H11" s="1">
        <v>8</v>
      </c>
      <c r="I11" s="1">
        <v>-2</v>
      </c>
      <c r="J11" s="1">
        <v>10</v>
      </c>
      <c r="L11" s="2">
        <v>7.1527777777777787E-2</v>
      </c>
      <c r="N11" s="1">
        <v>1</v>
      </c>
      <c r="O11" s="1">
        <v>0</v>
      </c>
      <c r="P11" s="1">
        <v>2</v>
      </c>
      <c r="Q11" s="1">
        <v>3</v>
      </c>
      <c r="R11" s="1">
        <v>6</v>
      </c>
      <c r="W11" s="1">
        <v>2</v>
      </c>
      <c r="X11" s="1">
        <v>1</v>
      </c>
      <c r="Y11" s="1">
        <v>1</v>
      </c>
      <c r="Z11" s="1">
        <v>3</v>
      </c>
      <c r="AA11" s="1">
        <v>2</v>
      </c>
      <c r="AE11" s="1">
        <f t="shared" si="0"/>
        <v>3</v>
      </c>
      <c r="AF11" s="1">
        <f t="shared" si="1"/>
        <v>4</v>
      </c>
      <c r="AG11" s="1"/>
    </row>
    <row r="12" spans="1:42" ht="15" customHeight="1" x14ac:dyDescent="0.25">
      <c r="A12" s="3" t="s">
        <v>27</v>
      </c>
      <c r="B12" s="1" t="s">
        <v>186</v>
      </c>
      <c r="C12" s="1">
        <v>7</v>
      </c>
      <c r="D12" s="1">
        <v>3</v>
      </c>
      <c r="E12" s="1">
        <v>0</v>
      </c>
      <c r="F12" s="1">
        <v>4</v>
      </c>
      <c r="G12" s="1">
        <v>8</v>
      </c>
      <c r="H12" s="1">
        <v>14</v>
      </c>
      <c r="I12" s="1">
        <v>-6</v>
      </c>
      <c r="J12" s="1">
        <v>9</v>
      </c>
      <c r="L12" s="2">
        <v>6.1805555555555558E-2</v>
      </c>
      <c r="N12" s="1">
        <v>1</v>
      </c>
      <c r="O12" s="1">
        <v>0</v>
      </c>
      <c r="P12" s="1">
        <v>2</v>
      </c>
      <c r="Q12" s="1">
        <v>1</v>
      </c>
      <c r="R12" s="1">
        <v>5</v>
      </c>
      <c r="W12" s="1">
        <v>2</v>
      </c>
      <c r="X12" s="1">
        <v>0</v>
      </c>
      <c r="Y12" s="1">
        <v>2</v>
      </c>
      <c r="Z12" s="1">
        <v>7</v>
      </c>
      <c r="AA12" s="1">
        <v>9</v>
      </c>
      <c r="AE12" s="1">
        <f t="shared" si="0"/>
        <v>3</v>
      </c>
      <c r="AF12" s="1">
        <f t="shared" si="1"/>
        <v>4</v>
      </c>
      <c r="AG12" s="1"/>
    </row>
    <row r="13" spans="1:42" ht="15" customHeight="1" x14ac:dyDescent="0.25">
      <c r="A13" s="3" t="s">
        <v>34</v>
      </c>
      <c r="B13" s="1" t="s">
        <v>187</v>
      </c>
      <c r="C13" s="1">
        <v>7</v>
      </c>
      <c r="D13" s="1">
        <v>3</v>
      </c>
      <c r="E13" s="1">
        <v>0</v>
      </c>
      <c r="F13" s="1">
        <v>4</v>
      </c>
      <c r="G13" s="1">
        <v>7</v>
      </c>
      <c r="H13" s="1">
        <v>11</v>
      </c>
      <c r="I13" s="1">
        <v>-4</v>
      </c>
      <c r="J13" s="1">
        <v>9</v>
      </c>
      <c r="L13" s="2">
        <v>6.1805555555555558E-2</v>
      </c>
      <c r="N13" s="1">
        <v>2</v>
      </c>
      <c r="O13" s="1">
        <v>0</v>
      </c>
      <c r="P13" s="1">
        <v>2</v>
      </c>
      <c r="Q13" s="1">
        <v>5</v>
      </c>
      <c r="R13" s="1">
        <v>5</v>
      </c>
      <c r="W13" s="1">
        <v>1</v>
      </c>
      <c r="X13" s="1">
        <v>0</v>
      </c>
      <c r="Y13" s="1">
        <v>2</v>
      </c>
      <c r="Z13" s="1">
        <v>2</v>
      </c>
      <c r="AA13" s="1">
        <v>6</v>
      </c>
      <c r="AE13" s="1">
        <f t="shared" si="0"/>
        <v>4</v>
      </c>
      <c r="AF13" s="1">
        <f t="shared" si="1"/>
        <v>3</v>
      </c>
      <c r="AG13" s="1"/>
    </row>
    <row r="14" spans="1:42" ht="15" customHeight="1" x14ac:dyDescent="0.25">
      <c r="A14" s="3" t="s">
        <v>37</v>
      </c>
      <c r="B14" s="1" t="s">
        <v>188</v>
      </c>
      <c r="C14" s="1">
        <v>7</v>
      </c>
      <c r="D14" s="1">
        <v>2</v>
      </c>
      <c r="E14" s="1">
        <v>2</v>
      </c>
      <c r="F14" s="1">
        <v>3</v>
      </c>
      <c r="G14" s="1">
        <v>9</v>
      </c>
      <c r="H14" s="1">
        <v>9</v>
      </c>
      <c r="I14" s="1">
        <v>0</v>
      </c>
      <c r="J14" s="1">
        <v>8</v>
      </c>
      <c r="L14" s="2">
        <v>5.1388888888888894E-2</v>
      </c>
      <c r="N14" s="1">
        <v>0</v>
      </c>
      <c r="O14" s="1">
        <v>1</v>
      </c>
      <c r="P14" s="1">
        <v>2</v>
      </c>
      <c r="Q14" s="1">
        <v>2</v>
      </c>
      <c r="R14" s="1">
        <v>4</v>
      </c>
      <c r="W14" s="1">
        <v>2</v>
      </c>
      <c r="X14" s="1">
        <v>1</v>
      </c>
      <c r="Y14" s="1">
        <v>1</v>
      </c>
      <c r="Z14" s="1">
        <v>7</v>
      </c>
      <c r="AA14" s="1">
        <v>5</v>
      </c>
      <c r="AE14" s="1">
        <f t="shared" si="0"/>
        <v>3</v>
      </c>
      <c r="AF14" s="1">
        <f t="shared" si="1"/>
        <v>4</v>
      </c>
      <c r="AG14" s="1"/>
    </row>
    <row r="15" spans="1:42" ht="15" customHeight="1" x14ac:dyDescent="0.25">
      <c r="A15" s="3" t="s">
        <v>171</v>
      </c>
      <c r="B15" s="1" t="s">
        <v>189</v>
      </c>
      <c r="C15" s="1">
        <v>6</v>
      </c>
      <c r="D15" s="1">
        <v>2</v>
      </c>
      <c r="E15" s="1">
        <v>2</v>
      </c>
      <c r="F15" s="1">
        <v>2</v>
      </c>
      <c r="G15" s="1">
        <v>11</v>
      </c>
      <c r="H15" s="1">
        <v>9</v>
      </c>
      <c r="I15" s="1">
        <v>2</v>
      </c>
      <c r="J15" s="1">
        <v>8</v>
      </c>
      <c r="L15" s="2">
        <v>6.458333333333334E-2</v>
      </c>
      <c r="N15" s="1">
        <v>0</v>
      </c>
      <c r="O15" s="1">
        <v>1</v>
      </c>
      <c r="P15" s="1">
        <v>1</v>
      </c>
      <c r="Q15" s="1">
        <v>2</v>
      </c>
      <c r="R15" s="1">
        <v>3</v>
      </c>
      <c r="W15" s="1">
        <v>2</v>
      </c>
      <c r="X15" s="1">
        <v>1</v>
      </c>
      <c r="Y15" s="1">
        <v>1</v>
      </c>
      <c r="Z15" s="1">
        <v>9</v>
      </c>
      <c r="AA15" s="1">
        <v>6</v>
      </c>
      <c r="AE15" s="1">
        <f t="shared" si="0"/>
        <v>2</v>
      </c>
      <c r="AF15" s="1">
        <f t="shared" si="1"/>
        <v>4</v>
      </c>
      <c r="AG15" s="1"/>
    </row>
    <row r="16" spans="1:42" ht="15" customHeight="1" x14ac:dyDescent="0.25">
      <c r="A16" s="3" t="s">
        <v>172</v>
      </c>
      <c r="B16" s="1" t="s">
        <v>190</v>
      </c>
      <c r="C16" s="1">
        <v>7</v>
      </c>
      <c r="D16" s="1">
        <v>2</v>
      </c>
      <c r="E16" s="1">
        <v>2</v>
      </c>
      <c r="F16" s="1">
        <v>3</v>
      </c>
      <c r="G16" s="1">
        <v>11</v>
      </c>
      <c r="H16" s="1">
        <v>14</v>
      </c>
      <c r="I16" s="1">
        <v>-3</v>
      </c>
      <c r="J16" s="1">
        <v>8</v>
      </c>
      <c r="L16" s="2">
        <v>5.1388888888888894E-2</v>
      </c>
      <c r="N16" s="1">
        <v>0</v>
      </c>
      <c r="O16" s="1">
        <v>1</v>
      </c>
      <c r="P16" s="1">
        <v>3</v>
      </c>
      <c r="Q16" s="1">
        <v>5</v>
      </c>
      <c r="R16" s="1">
        <v>12</v>
      </c>
      <c r="W16" s="1">
        <v>2</v>
      </c>
      <c r="X16" s="1">
        <v>1</v>
      </c>
      <c r="Y16" s="1">
        <v>0</v>
      </c>
      <c r="Z16" s="1">
        <v>6</v>
      </c>
      <c r="AA16" s="1">
        <v>2</v>
      </c>
      <c r="AE16" s="1">
        <f t="shared" si="0"/>
        <v>4</v>
      </c>
      <c r="AF16" s="1">
        <f t="shared" si="1"/>
        <v>3</v>
      </c>
      <c r="AG16" s="1"/>
    </row>
    <row r="17" spans="1:33" ht="15" customHeight="1" x14ac:dyDescent="0.25">
      <c r="A17" s="3" t="s">
        <v>173</v>
      </c>
      <c r="B17" s="1" t="s">
        <v>191</v>
      </c>
      <c r="C17" s="1">
        <v>6</v>
      </c>
      <c r="D17" s="1">
        <v>2</v>
      </c>
      <c r="E17" s="1">
        <v>1</v>
      </c>
      <c r="F17" s="1">
        <v>3</v>
      </c>
      <c r="G17" s="1">
        <v>13</v>
      </c>
      <c r="H17" s="1">
        <v>9</v>
      </c>
      <c r="I17" s="1">
        <v>4</v>
      </c>
      <c r="J17" s="1">
        <v>7</v>
      </c>
      <c r="L17" s="2">
        <v>5.347222222222222E-2</v>
      </c>
      <c r="N17" s="1">
        <v>2</v>
      </c>
      <c r="O17" s="1">
        <v>1</v>
      </c>
      <c r="P17" s="1">
        <v>1</v>
      </c>
      <c r="Q17" s="1">
        <v>12</v>
      </c>
      <c r="R17" s="1">
        <v>6</v>
      </c>
      <c r="W17" s="1">
        <v>0</v>
      </c>
      <c r="X17" s="1">
        <v>0</v>
      </c>
      <c r="Y17" s="1">
        <v>2</v>
      </c>
      <c r="Z17" s="1">
        <v>1</v>
      </c>
      <c r="AA17" s="1">
        <v>3</v>
      </c>
      <c r="AE17" s="1">
        <f t="shared" si="0"/>
        <v>4</v>
      </c>
      <c r="AF17" s="1">
        <f t="shared" si="1"/>
        <v>2</v>
      </c>
      <c r="AG17" s="1"/>
    </row>
    <row r="18" spans="1:33" ht="15" customHeight="1" x14ac:dyDescent="0.25">
      <c r="A18" s="3" t="s">
        <v>174</v>
      </c>
      <c r="B18" s="1" t="s">
        <v>192</v>
      </c>
      <c r="C18" s="1">
        <v>7</v>
      </c>
      <c r="D18" s="1">
        <v>1</v>
      </c>
      <c r="E18" s="1">
        <v>4</v>
      </c>
      <c r="F18" s="1">
        <v>2</v>
      </c>
      <c r="G18" s="1">
        <v>8</v>
      </c>
      <c r="H18" s="1">
        <v>14</v>
      </c>
      <c r="I18" s="1">
        <v>-6</v>
      </c>
      <c r="J18" s="1">
        <v>7</v>
      </c>
      <c r="L18" s="2">
        <v>4.1666666666666664E-2</v>
      </c>
      <c r="N18" s="1">
        <v>1</v>
      </c>
      <c r="O18" s="1">
        <v>2</v>
      </c>
      <c r="P18" s="1">
        <v>1</v>
      </c>
      <c r="Q18" s="1">
        <v>5</v>
      </c>
      <c r="R18" s="1">
        <v>7</v>
      </c>
      <c r="W18" s="1">
        <v>0</v>
      </c>
      <c r="X18" s="1">
        <v>2</v>
      </c>
      <c r="Y18" s="1">
        <v>1</v>
      </c>
      <c r="Z18" s="1">
        <v>3</v>
      </c>
      <c r="AA18" s="1">
        <v>7</v>
      </c>
      <c r="AE18" s="1">
        <f t="shared" si="0"/>
        <v>4</v>
      </c>
      <c r="AF18" s="1">
        <f t="shared" si="1"/>
        <v>3</v>
      </c>
      <c r="AG18" s="1"/>
    </row>
    <row r="19" spans="1:33" ht="15" customHeight="1" x14ac:dyDescent="0.25">
      <c r="A19" s="3" t="s">
        <v>175</v>
      </c>
      <c r="B19" s="1" t="s">
        <v>193</v>
      </c>
      <c r="C19" s="1">
        <v>7</v>
      </c>
      <c r="D19" s="1">
        <v>2</v>
      </c>
      <c r="E19" s="1">
        <v>1</v>
      </c>
      <c r="F19" s="1">
        <v>4</v>
      </c>
      <c r="G19" s="1">
        <v>11</v>
      </c>
      <c r="H19" s="1">
        <v>18</v>
      </c>
      <c r="I19" s="1">
        <v>-7</v>
      </c>
      <c r="J19" s="1">
        <v>7</v>
      </c>
      <c r="L19" s="2">
        <v>4.1666666666666664E-2</v>
      </c>
      <c r="N19" s="1">
        <v>2</v>
      </c>
      <c r="O19" s="1">
        <v>0</v>
      </c>
      <c r="P19" s="1">
        <v>1</v>
      </c>
      <c r="Q19" s="1">
        <v>7</v>
      </c>
      <c r="R19" s="1">
        <v>6</v>
      </c>
      <c r="W19" s="1">
        <v>0</v>
      </c>
      <c r="X19" s="1">
        <v>1</v>
      </c>
      <c r="Y19" s="1">
        <v>3</v>
      </c>
      <c r="Z19" s="1">
        <v>4</v>
      </c>
      <c r="AA19" s="1">
        <v>12</v>
      </c>
      <c r="AE19" s="1">
        <f t="shared" si="0"/>
        <v>3</v>
      </c>
      <c r="AF19" s="1">
        <f t="shared" si="1"/>
        <v>4</v>
      </c>
      <c r="AG19" s="1"/>
    </row>
    <row r="20" spans="1:33" ht="15" customHeight="1" x14ac:dyDescent="0.25">
      <c r="A20" s="3" t="s">
        <v>176</v>
      </c>
      <c r="B20" s="1" t="s">
        <v>194</v>
      </c>
      <c r="C20" s="1">
        <v>7</v>
      </c>
      <c r="D20" s="1">
        <v>0</v>
      </c>
      <c r="E20" s="1">
        <v>1</v>
      </c>
      <c r="F20" s="1">
        <v>6</v>
      </c>
      <c r="G20" s="1">
        <v>6</v>
      </c>
      <c r="H20" s="1">
        <v>16</v>
      </c>
      <c r="I20" s="1">
        <v>-10</v>
      </c>
      <c r="J20" s="1">
        <v>1</v>
      </c>
      <c r="L20" s="2">
        <v>9.7222222222222224E-3</v>
      </c>
      <c r="N20" s="1">
        <v>0</v>
      </c>
      <c r="O20" s="1">
        <v>0</v>
      </c>
      <c r="P20" s="1">
        <v>4</v>
      </c>
      <c r="Q20" s="1">
        <v>0</v>
      </c>
      <c r="R20" s="1">
        <v>6</v>
      </c>
      <c r="W20" s="1">
        <v>0</v>
      </c>
      <c r="X20" s="1">
        <v>1</v>
      </c>
      <c r="Y20" s="1">
        <v>2</v>
      </c>
      <c r="Z20" s="1">
        <v>6</v>
      </c>
      <c r="AA20" s="1">
        <v>10</v>
      </c>
      <c r="AE20" s="1">
        <f t="shared" si="0"/>
        <v>4</v>
      </c>
      <c r="AF20" s="1">
        <f t="shared" si="1"/>
        <v>3</v>
      </c>
      <c r="AG20" s="1"/>
    </row>
    <row r="21" spans="1:33" ht="15" customHeight="1" x14ac:dyDescent="0.25">
      <c r="AE21" s="1">
        <f t="shared" si="0"/>
        <v>0</v>
      </c>
      <c r="AF21" s="1">
        <f t="shared" si="1"/>
        <v>0</v>
      </c>
      <c r="AG21" s="1"/>
    </row>
    <row r="22" spans="1:33" ht="15" customHeight="1" x14ac:dyDescent="0.25">
      <c r="AE22" s="1">
        <f t="shared" si="0"/>
        <v>0</v>
      </c>
      <c r="AF22" s="1">
        <f t="shared" si="1"/>
        <v>0</v>
      </c>
      <c r="AG22" s="1"/>
    </row>
  </sheetData>
  <mergeCells count="3">
    <mergeCell ref="A1:J1"/>
    <mergeCell ref="N1:R1"/>
    <mergeCell ref="W1:AA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AE39"/>
  <sheetViews>
    <sheetView showGridLines="0" showRowColHeaders="0" topLeftCell="AI1" zoomScaleNormal="100" workbookViewId="0">
      <selection sqref="A1:AH1048576"/>
    </sheetView>
  </sheetViews>
  <sheetFormatPr defaultColWidth="2.85546875" defaultRowHeight="15" customHeight="1" x14ac:dyDescent="0.25"/>
  <cols>
    <col min="1" max="1" width="0" style="15" hidden="1" customWidth="1"/>
    <col min="2" max="2" width="10.85546875" style="15" hidden="1" customWidth="1"/>
    <col min="3" max="3" width="22" style="15" hidden="1" customWidth="1"/>
    <col min="4" max="5" width="8.5703125" style="15" hidden="1" customWidth="1"/>
    <col min="6" max="6" width="16.140625" style="15" hidden="1" customWidth="1"/>
    <col min="7" max="8" width="0" style="15" hidden="1" customWidth="1"/>
    <col min="9" max="9" width="3.5703125" style="15" hidden="1" customWidth="1"/>
    <col min="10" max="26" width="7.140625" style="15" hidden="1" customWidth="1"/>
    <col min="27" max="27" width="0" style="15" hidden="1" customWidth="1"/>
    <col min="28" max="31" width="10.28515625" style="15" hidden="1" customWidth="1"/>
    <col min="32" max="34" width="0" style="15" hidden="1" customWidth="1"/>
    <col min="35" max="16384" width="2.85546875" style="15"/>
  </cols>
  <sheetData>
    <row r="1" spans="2:31" ht="15" customHeight="1" x14ac:dyDescent="0.25">
      <c r="C1"/>
    </row>
    <row r="2" spans="2:31" ht="22.5" customHeight="1" x14ac:dyDescent="0.25">
      <c r="B2" s="120" t="s">
        <v>80</v>
      </c>
      <c r="C2" s="120"/>
      <c r="D2" s="120"/>
      <c r="E2" s="120"/>
      <c r="F2" s="120"/>
      <c r="G2" s="38" t="s">
        <v>78</v>
      </c>
      <c r="H2" s="120" t="s">
        <v>79</v>
      </c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77"/>
      <c r="V2" s="77"/>
      <c r="W2" s="77"/>
      <c r="X2" s="77"/>
      <c r="Y2" s="77"/>
      <c r="Z2" s="77"/>
      <c r="AA2" s="38" t="s">
        <v>78</v>
      </c>
      <c r="AB2" s="120" t="s">
        <v>77</v>
      </c>
      <c r="AC2" s="120"/>
      <c r="AD2" s="120"/>
      <c r="AE2" s="120"/>
    </row>
    <row r="3" spans="2:31" ht="15" customHeight="1" x14ac:dyDescent="0.25">
      <c r="C3"/>
    </row>
    <row r="4" spans="2:31" ht="15" customHeight="1" x14ac:dyDescent="0.25">
      <c r="B4" s="127" t="s">
        <v>76</v>
      </c>
      <c r="C4" s="128"/>
      <c r="D4" s="122" t="s">
        <v>75</v>
      </c>
      <c r="E4" s="123"/>
      <c r="F4" s="37" t="s">
        <v>74</v>
      </c>
      <c r="H4" s="36"/>
      <c r="I4" s="34"/>
      <c r="J4" s="119" t="str">
        <f>Analysis!C3</f>
        <v> St. Gilloise </v>
      </c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78"/>
      <c r="V4" s="78"/>
      <c r="W4" s="78"/>
      <c r="X4" s="78"/>
      <c r="Y4" s="78"/>
      <c r="Z4" s="78"/>
      <c r="AB4" s="119" t="s">
        <v>73</v>
      </c>
      <c r="AC4" s="119"/>
      <c r="AD4" s="119"/>
      <c r="AE4" s="119"/>
    </row>
    <row r="5" spans="2:31" ht="15" customHeight="1" x14ac:dyDescent="0.25">
      <c r="B5" s="125" t="s">
        <v>72</v>
      </c>
      <c r="C5" s="126"/>
      <c r="D5" s="119"/>
      <c r="E5" s="124"/>
      <c r="F5" s="35" t="s">
        <v>71</v>
      </c>
      <c r="H5" s="34"/>
      <c r="I5" s="34" t="s">
        <v>70</v>
      </c>
      <c r="J5" s="33">
        <v>0</v>
      </c>
      <c r="K5" s="33">
        <v>1</v>
      </c>
      <c r="L5" s="33">
        <v>2</v>
      </c>
      <c r="M5" s="33">
        <v>3</v>
      </c>
      <c r="N5" s="33">
        <v>4</v>
      </c>
      <c r="O5" s="33">
        <v>5</v>
      </c>
      <c r="P5" s="33">
        <v>6</v>
      </c>
      <c r="Q5" s="33">
        <v>7</v>
      </c>
      <c r="R5" s="33">
        <v>8</v>
      </c>
      <c r="S5" s="33">
        <v>9</v>
      </c>
      <c r="T5" s="33">
        <v>10</v>
      </c>
      <c r="U5" s="79">
        <v>11</v>
      </c>
      <c r="V5" s="79">
        <v>12</v>
      </c>
      <c r="W5" s="79">
        <v>13</v>
      </c>
      <c r="X5" s="79">
        <v>14</v>
      </c>
      <c r="Y5" s="79">
        <v>15</v>
      </c>
      <c r="Z5" s="79">
        <v>16</v>
      </c>
      <c r="AB5" s="32"/>
      <c r="AC5" s="31" t="s">
        <v>69</v>
      </c>
      <c r="AD5" s="31" t="s">
        <v>68</v>
      </c>
      <c r="AE5" s="31" t="s">
        <v>67</v>
      </c>
    </row>
    <row r="6" spans="2:31" ht="15" customHeight="1" x14ac:dyDescent="0.25">
      <c r="B6" s="22"/>
      <c r="C6" s="22" t="s">
        <v>5</v>
      </c>
      <c r="D6" s="30" t="s">
        <v>66</v>
      </c>
      <c r="E6" s="29" t="s">
        <v>65</v>
      </c>
      <c r="F6" s="29" t="s">
        <v>60</v>
      </c>
      <c r="H6" s="121" t="str">
        <f>Analysis!E3</f>
        <v> Standard Liege </v>
      </c>
      <c r="I6" s="17">
        <v>0</v>
      </c>
      <c r="J6" s="16">
        <f t="shared" ref="J6:Y19" si="0">_xlfn.POISSON.DIST(J$5,$F$7,FALSE)*_xlfn.POISSON.DIST($I6,$F$8,FALSE)</f>
        <v>0.1154238332357541</v>
      </c>
      <c r="K6" s="16">
        <f t="shared" si="0"/>
        <v>0.23301436820217067</v>
      </c>
      <c r="L6" s="16">
        <f t="shared" si="0"/>
        <v>0.23520140627177658</v>
      </c>
      <c r="M6" s="16">
        <f t="shared" si="0"/>
        <v>0.15827264770277788</v>
      </c>
      <c r="N6" s="16">
        <f t="shared" si="0"/>
        <v>7.9879085571565284E-2</v>
      </c>
      <c r="O6" s="16">
        <f t="shared" si="0"/>
        <v>3.2251527496939492E-2</v>
      </c>
      <c r="P6" s="16">
        <f t="shared" si="0"/>
        <v>1.0851411839564508E-2</v>
      </c>
      <c r="Q6" s="16">
        <f t="shared" si="0"/>
        <v>3.1295033059755991E-3</v>
      </c>
      <c r="R6" s="16">
        <f t="shared" si="0"/>
        <v>7.8971908918831454E-4</v>
      </c>
      <c r="S6" s="16">
        <f t="shared" si="0"/>
        <v>1.7714028325555256E-4</v>
      </c>
      <c r="T6" s="16">
        <f t="shared" si="0"/>
        <v>3.5760579101232208E-5</v>
      </c>
      <c r="U6" s="16">
        <f t="shared" si="0"/>
        <v>6.5629495558951247E-6</v>
      </c>
      <c r="V6" s="16">
        <f t="shared" si="0"/>
        <v>1.1040914034236581E-6</v>
      </c>
      <c r="W6" s="16">
        <f t="shared" si="0"/>
        <v>1.7145449853680176E-7</v>
      </c>
      <c r="X6" s="16">
        <f t="shared" si="0"/>
        <v>2.4723392122994096E-8</v>
      </c>
      <c r="Y6" s="16">
        <f t="shared" si="0"/>
        <v>3.327392292016101E-9</v>
      </c>
      <c r="Z6" s="16">
        <f t="shared" ref="Z6:Z13" si="1">_xlfn.POISSON.DIST(Z$5,$F$7,FALSE)*_xlfn.POISSON.DIST($I6,$F$8,FALSE)</f>
        <v>4.1982783740885004E-10</v>
      </c>
      <c r="AB6" s="24" t="s">
        <v>64</v>
      </c>
      <c r="AC6" s="28">
        <f>SUM(K6:Z6,L7:Z7,M8:Z8,N9:Z9,O10:Z10,P11:Z11,Q12:Z12,R13:Z13,S14:Z14,T15:Z15,U16:Z16,V17:Z17,W18:Z18,X19:Z19,Y20:Z20,Z21)</f>
        <v>0.82955907572725829</v>
      </c>
      <c r="AD6" s="28">
        <f>SUM(J6,K7,L8,M9,N10,O11,P12,Q13,R14,S15,T16,U17,V18,W19,X20,Y21,Z22)</f>
        <v>0.15052422643797631</v>
      </c>
      <c r="AE6" s="28">
        <f>1-(AC6+AD6)</f>
        <v>1.9916697834765351E-2</v>
      </c>
    </row>
    <row r="7" spans="2:31" ht="15" customHeight="1" x14ac:dyDescent="0.25">
      <c r="B7" s="27" t="s">
        <v>3</v>
      </c>
      <c r="C7" s="26" t="s">
        <v>63</v>
      </c>
      <c r="D7" s="20">
        <f>Analysis!C14</f>
        <v>1.2708333333333333</v>
      </c>
      <c r="E7" s="25">
        <f>Analysis!C15</f>
        <v>0.21631205673758866</v>
      </c>
      <c r="F7" s="18">
        <f>Analysis!C16</f>
        <v>2.0187717013888888</v>
      </c>
      <c r="H7" s="121"/>
      <c r="I7" s="17">
        <v>1</v>
      </c>
      <c r="J7" s="16">
        <f t="shared" si="0"/>
        <v>1.6202357155207524E-2</v>
      </c>
      <c r="K7" s="16">
        <f t="shared" si="0"/>
        <v>3.2708860120728732E-2</v>
      </c>
      <c r="L7" s="16">
        <f t="shared" si="0"/>
        <v>3.301586059820736E-2</v>
      </c>
      <c r="M7" s="16">
        <f t="shared" si="0"/>
        <v>2.2217161690887149E-2</v>
      </c>
      <c r="N7" s="16">
        <f t="shared" si="0"/>
        <v>1.1212844326686075E-2</v>
      </c>
      <c r="O7" s="16">
        <f t="shared" si="0"/>
        <v>4.5272345637585587E-3</v>
      </c>
      <c r="P7" s="16">
        <f t="shared" si="0"/>
        <v>1.5232421704775743E-3</v>
      </c>
      <c r="Q7" s="16">
        <f t="shared" si="0"/>
        <v>4.3929688401747418E-4</v>
      </c>
      <c r="R7" s="16">
        <f t="shared" si="0"/>
        <v>1.1085501474534928E-4</v>
      </c>
      <c r="S7" s="16">
        <f t="shared" si="0"/>
        <v>2.4865662969439834E-5</v>
      </c>
      <c r="T7" s="16">
        <f t="shared" si="0"/>
        <v>5.0198096738978816E-6</v>
      </c>
      <c r="U7" s="16">
        <f t="shared" si="0"/>
        <v>9.2125906509301949E-7</v>
      </c>
      <c r="V7" s="16">
        <f t="shared" si="0"/>
        <v>1.5498431085481487E-7</v>
      </c>
      <c r="W7" s="16">
        <f t="shared" si="0"/>
        <v>2.4067533916381448E-8</v>
      </c>
      <c r="X7" s="16">
        <f t="shared" si="0"/>
        <v>3.4704897423291476E-9</v>
      </c>
      <c r="Y7" s="16">
        <f t="shared" si="0"/>
        <v>4.6707509878496732E-10</v>
      </c>
      <c r="Z7" s="16">
        <f t="shared" si="1"/>
        <v>5.8932374490656822E-11</v>
      </c>
      <c r="AB7" s="24" t="s">
        <v>61</v>
      </c>
      <c r="AC7" s="23">
        <f>1/AC6</f>
        <v>1.205459658341173</v>
      </c>
      <c r="AD7" s="23">
        <f>1/AD6</f>
        <v>6.6434488564673089</v>
      </c>
      <c r="AE7" s="23">
        <f>1/AE6</f>
        <v>50.209126447380356</v>
      </c>
    </row>
    <row r="8" spans="2:31" ht="15" customHeight="1" x14ac:dyDescent="0.25">
      <c r="B8" s="22" t="s">
        <v>4</v>
      </c>
      <c r="C8" s="21" t="s">
        <v>62</v>
      </c>
      <c r="D8" s="20">
        <f>Analysis!E14</f>
        <v>0.64893617021276595</v>
      </c>
      <c r="E8" s="19">
        <f>Analysis!E15</f>
        <v>0.79427083333333337</v>
      </c>
      <c r="F8" s="18">
        <f>Analysis!E16</f>
        <v>0.14037271767013731</v>
      </c>
      <c r="H8" s="121"/>
      <c r="I8" s="17">
        <v>2</v>
      </c>
      <c r="J8" s="16">
        <f t="shared" si="0"/>
        <v>1.1371844532693375E-3</v>
      </c>
      <c r="K8" s="16">
        <f t="shared" si="0"/>
        <v>2.2957157935195338E-3</v>
      </c>
      <c r="L8" s="16">
        <f t="shared" si="0"/>
        <v>2.3172630391943864E-3</v>
      </c>
      <c r="M8" s="16">
        <f t="shared" si="0"/>
        <v>1.5593416827333461E-3</v>
      </c>
      <c r="N8" s="16">
        <f t="shared" si="0"/>
        <v>7.8698871547455262E-4</v>
      </c>
      <c r="O8" s="16">
        <f t="shared" si="0"/>
        <v>3.1775010962248367E-4</v>
      </c>
      <c r="P8" s="16">
        <f t="shared" si="0"/>
        <v>1.0691082156984786E-4</v>
      </c>
      <c r="Q8" s="16">
        <f t="shared" si="0"/>
        <v>3.083264873677798E-5</v>
      </c>
      <c r="R8" s="16">
        <f t="shared" si="0"/>
        <v>7.7805098435839112E-6</v>
      </c>
      <c r="S8" s="16">
        <f t="shared" si="0"/>
        <v>1.745230343844983E-6</v>
      </c>
      <c r="T8" s="16">
        <f t="shared" si="0"/>
        <v>3.5232216305594571E-7</v>
      </c>
      <c r="U8" s="16">
        <f t="shared" si="0"/>
        <v>6.4659819322678541E-8</v>
      </c>
      <c r="V8" s="16">
        <f t="shared" si="0"/>
        <v>1.0877784455461862E-8</v>
      </c>
      <c r="W8" s="16">
        <f t="shared" si="0"/>
        <v>1.6892125717303337E-9</v>
      </c>
      <c r="X8" s="16">
        <f t="shared" si="0"/>
        <v>2.4358103838853851E-10</v>
      </c>
      <c r="Y8" s="16">
        <f t="shared" si="0"/>
        <v>3.2782300486246851E-11</v>
      </c>
      <c r="Z8" s="16">
        <f t="shared" si="1"/>
        <v>4.1362487830038868E-12</v>
      </c>
    </row>
    <row r="9" spans="2:31" ht="15" customHeight="1" x14ac:dyDescent="0.25">
      <c r="H9" s="121"/>
      <c r="I9" s="17">
        <v>3</v>
      </c>
      <c r="J9" s="16">
        <f t="shared" si="0"/>
        <v>5.3209890732548726E-5</v>
      </c>
      <c r="K9" s="16">
        <f t="shared" si="0"/>
        <v>1.0741862164486425E-4</v>
      </c>
      <c r="L9" s="16">
        <f t="shared" si="0"/>
        <v>1.0842683678942599E-4</v>
      </c>
      <c r="M9" s="16">
        <f t="shared" si="0"/>
        <v>7.2963009927201625E-5</v>
      </c>
      <c r="N9" s="16">
        <f t="shared" si="0"/>
        <v>3.6823914922297805E-5</v>
      </c>
      <c r="O9" s="16">
        <f t="shared" si="0"/>
        <v>1.4867815475897363E-5</v>
      </c>
      <c r="P9" s="16">
        <f t="shared" si="0"/>
        <v>5.0024541907022268E-6</v>
      </c>
      <c r="Q9" s="16">
        <f t="shared" si="0"/>
        <v>1.4426875653834172E-6</v>
      </c>
      <c r="R9" s="16">
        <f t="shared" si="0"/>
        <v>3.6405710386770957E-7</v>
      </c>
      <c r="S9" s="16">
        <f t="shared" si="0"/>
        <v>8.1660908775302839E-8</v>
      </c>
      <c r="T9" s="16">
        <f t="shared" si="0"/>
        <v>1.6485473174528118E-8</v>
      </c>
      <c r="U9" s="16">
        <f t="shared" si="0"/>
        <v>3.0254915207948149E-9</v>
      </c>
      <c r="V9" s="16">
        <f t="shared" si="0"/>
        <v>5.0898138874771889E-10</v>
      </c>
      <c r="W9" s="16">
        <f t="shared" si="0"/>
        <v>7.9039786472116241E-11</v>
      </c>
      <c r="X9" s="16">
        <f t="shared" si="0"/>
        <v>1.1397377443837733E-11</v>
      </c>
      <c r="Y9" s="16">
        <f t="shared" si="0"/>
        <v>1.5339135369111784E-12</v>
      </c>
      <c r="Z9" s="16">
        <f t="shared" si="1"/>
        <v>1.9353882754335123E-13</v>
      </c>
      <c r="AC9" s="15" t="s">
        <v>160</v>
      </c>
      <c r="AD9" s="15" t="s">
        <v>161</v>
      </c>
    </row>
    <row r="10" spans="2:31" ht="15" customHeight="1" x14ac:dyDescent="0.25">
      <c r="H10" s="121"/>
      <c r="I10" s="17">
        <v>4</v>
      </c>
      <c r="J10" s="16">
        <f t="shared" si="0"/>
        <v>1.8673042422647294E-6</v>
      </c>
      <c r="K10" s="16">
        <f t="shared" si="0"/>
        <v>3.7696609621674577E-6</v>
      </c>
      <c r="L10" s="16">
        <f t="shared" si="0"/>
        <v>3.8050424371270377E-6</v>
      </c>
      <c r="M10" s="16">
        <f t="shared" si="0"/>
        <v>2.5605039982186245E-6</v>
      </c>
      <c r="N10" s="16">
        <f t="shared" si="0"/>
        <v>1.2922682532242164E-6</v>
      </c>
      <c r="O10" s="16">
        <f t="shared" si="0"/>
        <v>5.2175891604245961E-7</v>
      </c>
      <c r="P10" s="16">
        <f t="shared" si="0"/>
        <v>1.7555202244230971E-7</v>
      </c>
      <c r="Q10" s="16">
        <f t="shared" si="0"/>
        <v>5.0628493575446044E-8</v>
      </c>
      <c r="R10" s="16">
        <f t="shared" si="0"/>
        <v>1.2775921264257461E-8</v>
      </c>
      <c r="S10" s="16">
        <f t="shared" si="0"/>
        <v>2.8657409230506057E-9</v>
      </c>
      <c r="T10" s="16">
        <f t="shared" si="0"/>
        <v>5.785276678966644E-10</v>
      </c>
      <c r="U10" s="16">
        <f t="shared" si="0"/>
        <v>1.0617411676548123E-10</v>
      </c>
      <c r="V10" s="16">
        <f t="shared" si="0"/>
        <v>1.7861775195509483E-11</v>
      </c>
      <c r="W10" s="16">
        <f t="shared" si="0"/>
        <v>2.7737574077895778E-12</v>
      </c>
      <c r="X10" s="16">
        <f t="shared" si="0"/>
        <v>3.9997021152595629E-13</v>
      </c>
      <c r="Y10" s="16">
        <f t="shared" si="0"/>
        <v>5.3829902961808645E-14</v>
      </c>
      <c r="Z10" s="16">
        <f t="shared" si="1"/>
        <v>6.7918927992380585E-15</v>
      </c>
      <c r="AC10" s="54">
        <f>1-AD10</f>
        <v>0.36631199056109298</v>
      </c>
      <c r="AD10" s="54">
        <f>SUM(J6,K6,L6,J7,K7,J8)</f>
        <v>0.63368800943890702</v>
      </c>
    </row>
    <row r="11" spans="2:31" ht="15" customHeight="1" x14ac:dyDescent="0.25">
      <c r="H11" s="121"/>
      <c r="I11" s="17">
        <v>5</v>
      </c>
      <c r="J11" s="16">
        <f t="shared" si="0"/>
        <v>5.2423714240735288E-8</v>
      </c>
      <c r="K11" s="16">
        <f t="shared" si="0"/>
        <v>1.0583151079089409E-7</v>
      </c>
      <c r="L11" s="16">
        <f t="shared" si="0"/>
        <v>1.0682482954994492E-7</v>
      </c>
      <c r="M11" s="16">
        <f t="shared" si="0"/>
        <v>7.1884980967040117E-8</v>
      </c>
      <c r="N11" s="16">
        <f t="shared" si="0"/>
        <v>3.6279841332784869E-8</v>
      </c>
      <c r="O11" s="16">
        <f t="shared" si="0"/>
        <v>1.4648143402701007E-8</v>
      </c>
      <c r="P11" s="16">
        <f t="shared" si="0"/>
        <v>4.9285428965431879E-9</v>
      </c>
      <c r="Q11" s="16">
        <f t="shared" si="0"/>
        <v>1.4213718469460889E-9</v>
      </c>
      <c r="R11" s="16">
        <f t="shared" si="0"/>
        <v>3.5867815772070312E-10</v>
      </c>
      <c r="S11" s="16">
        <f t="shared" si="0"/>
        <v>8.0454368301428239E-11</v>
      </c>
      <c r="T11" s="16">
        <f t="shared" si="0"/>
        <v>1.624190019800428E-11</v>
      </c>
      <c r="U11" s="16">
        <f t="shared" si="0"/>
        <v>2.9807898633194163E-12</v>
      </c>
      <c r="V11" s="16">
        <f t="shared" si="0"/>
        <v>5.0146118532134263E-13</v>
      </c>
      <c r="W11" s="16">
        <f t="shared" si="0"/>
        <v>7.7871973097819628E-14</v>
      </c>
      <c r="X11" s="16">
        <f t="shared" si="0"/>
        <v>1.1228981115799628E-14</v>
      </c>
      <c r="Y11" s="16">
        <f t="shared" si="0"/>
        <v>1.51124995413377E-15</v>
      </c>
      <c r="Z11" s="16">
        <f t="shared" si="1"/>
        <v>1.9067929007065643E-16</v>
      </c>
      <c r="AC11" s="23">
        <f>1/AC10</f>
        <v>2.7299133682964207</v>
      </c>
      <c r="AD11" s="23">
        <f>1/AD10</f>
        <v>1.578063629269931</v>
      </c>
    </row>
    <row r="12" spans="2:31" ht="15" customHeight="1" x14ac:dyDescent="0.25">
      <c r="H12" s="121"/>
      <c r="I12" s="17">
        <v>6</v>
      </c>
      <c r="J12" s="16">
        <f t="shared" si="0"/>
        <v>1.226476539722449E-9</v>
      </c>
      <c r="K12" s="16">
        <f t="shared" si="0"/>
        <v>2.4759761308090454E-9</v>
      </c>
      <c r="L12" s="16">
        <f t="shared" si="0"/>
        <v>2.4992152730958279E-9</v>
      </c>
      <c r="M12" s="16">
        <f t="shared" si="0"/>
        <v>1.6817816896682535E-9</v>
      </c>
      <c r="N12" s="16">
        <f t="shared" si="0"/>
        <v>8.4878332075406523E-10</v>
      </c>
      <c r="O12" s="16">
        <f t="shared" si="0"/>
        <v>3.42699949709839E-10</v>
      </c>
      <c r="P12" s="16">
        <f t="shared" si="0"/>
        <v>1.1530549342360301E-10</v>
      </c>
      <c r="Q12" s="16">
        <f t="shared" si="0"/>
        <v>3.3253638162607509E-11</v>
      </c>
      <c r="R12" s="16">
        <f t="shared" si="0"/>
        <v>8.3914379613622103E-12</v>
      </c>
      <c r="S12" s="16">
        <f t="shared" si="0"/>
        <v>1.882266387817606E-12</v>
      </c>
      <c r="T12" s="16">
        <f t="shared" si="0"/>
        <v>3.7998661182016719E-13</v>
      </c>
      <c r="U12" s="16">
        <f t="shared" si="0"/>
        <v>6.9736928986290638E-14</v>
      </c>
      <c r="V12" s="16">
        <f t="shared" si="0"/>
        <v>1.1731911564940878E-14</v>
      </c>
      <c r="W12" s="16">
        <f t="shared" si="0"/>
        <v>1.8218500823461281E-15</v>
      </c>
      <c r="X12" s="16">
        <f t="shared" si="0"/>
        <v>2.6270709931524089E-16</v>
      </c>
      <c r="Y12" s="16">
        <f t="shared" si="0"/>
        <v>3.5356377190104623E-17</v>
      </c>
      <c r="Z12" s="16">
        <f t="shared" si="1"/>
        <v>4.461028358438414E-18</v>
      </c>
    </row>
    <row r="13" spans="2:31" ht="15" customHeight="1" x14ac:dyDescent="0.25">
      <c r="H13" s="121"/>
      <c r="I13" s="17">
        <v>7</v>
      </c>
      <c r="J13" s="16">
        <f t="shared" si="0"/>
        <v>2.4594835005643823E-11</v>
      </c>
      <c r="K13" s="16">
        <f t="shared" si="0"/>
        <v>4.9651356909722573E-11</v>
      </c>
      <c r="L13" s="16">
        <f t="shared" si="0"/>
        <v>5.011737713245381E-11</v>
      </c>
      <c r="M13" s="16">
        <f t="shared" si="0"/>
        <v>3.372518090094412E-11</v>
      </c>
      <c r="N13" s="16">
        <f t="shared" si="0"/>
        <v>1.7020860206761758E-11</v>
      </c>
      <c r="O13" s="16">
        <f t="shared" si="0"/>
        <v>6.8722461837413722E-12</v>
      </c>
      <c r="P13" s="16">
        <f t="shared" si="0"/>
        <v>2.3122493534524774E-12</v>
      </c>
      <c r="Q13" s="16">
        <f t="shared" si="0"/>
        <v>6.6684336590066E-13</v>
      </c>
      <c r="R13" s="16">
        <f t="shared" si="0"/>
        <v>1.6827556454239618E-13</v>
      </c>
      <c r="S13" s="16">
        <f t="shared" si="0"/>
        <v>3.7745549748158664E-14</v>
      </c>
      <c r="T13" s="16">
        <f t="shared" si="0"/>
        <v>7.6199647684949323E-15</v>
      </c>
      <c r="U13" s="16">
        <f t="shared" si="0"/>
        <v>1.3984517491107167E-15</v>
      </c>
      <c r="V13" s="16">
        <f t="shared" si="0"/>
        <v>2.3526290140520988E-16</v>
      </c>
      <c r="W13" s="16">
        <f t="shared" si="0"/>
        <v>3.6534006749498583E-17</v>
      </c>
      <c r="X13" s="16">
        <f t="shared" si="0"/>
        <v>5.2681299260170187E-18</v>
      </c>
      <c r="Y13" s="16">
        <f t="shared" si="0"/>
        <v>7.0901010759220747E-19</v>
      </c>
      <c r="Z13" s="16">
        <f t="shared" si="1"/>
        <v>8.9458096325364745E-20</v>
      </c>
    </row>
    <row r="14" spans="2:31" ht="15" customHeight="1" x14ac:dyDescent="0.25">
      <c r="H14" s="121"/>
      <c r="I14" s="17">
        <v>8</v>
      </c>
      <c r="J14" s="16">
        <f t="shared" si="0"/>
        <v>4.3155547879885432E-13</v>
      </c>
      <c r="K14" s="16">
        <f t="shared" si="0"/>
        <v>8.7121198817845967E-13</v>
      </c>
      <c r="L14" s="16">
        <f t="shared" si="0"/>
        <v>8.7938905382271292E-13</v>
      </c>
      <c r="M14" s="16">
        <f t="shared" si="0"/>
        <v>5.9176191212281441E-13</v>
      </c>
      <c r="N14" s="16">
        <f t="shared" si="0"/>
        <v>2.9865805053832908E-13</v>
      </c>
      <c r="O14" s="16">
        <f t="shared" si="0"/>
        <v>1.2058448416375023E-13</v>
      </c>
      <c r="P14" s="16">
        <f t="shared" si="0"/>
        <v>4.0572090709392585E-14</v>
      </c>
      <c r="Q14" s="16">
        <f t="shared" si="0"/>
        <v>1.1700826941472124E-14</v>
      </c>
      <c r="R14" s="16">
        <f t="shared" si="0"/>
        <v>2.9526622890365801E-15</v>
      </c>
      <c r="S14" s="16">
        <f t="shared" si="0"/>
        <v>6.6230567476279692E-16</v>
      </c>
      <c r="T14" s="16">
        <f t="shared" si="0"/>
        <v>1.3370439538804096E-16</v>
      </c>
      <c r="U14" s="16">
        <f t="shared" si="0"/>
        <v>2.453805906915343E-17</v>
      </c>
      <c r="V14" s="16">
        <f t="shared" si="0"/>
        <v>4.1280616046513407E-18</v>
      </c>
      <c r="W14" s="16">
        <f t="shared" si="0"/>
        <v>6.4104722685077913E-19</v>
      </c>
      <c r="X14" s="16">
        <f t="shared" si="0"/>
        <v>9.2437714344298127E-20</v>
      </c>
      <c r="Y14" s="16">
        <f t="shared" ref="X14:Z22" si="2">_xlfn.POISSON.DIST(Y$5,$F$7,FALSE)*_xlfn.POISSON.DIST($I14,$F$8,FALSE)</f>
        <v>1.2440709457289271E-20</v>
      </c>
      <c r="Z14" s="16">
        <f t="shared" si="2"/>
        <v>1.5696845123485397E-21</v>
      </c>
      <c r="AC14" s="15" t="s">
        <v>165</v>
      </c>
      <c r="AD14" s="15" t="s">
        <v>162</v>
      </c>
    </row>
    <row r="15" spans="2:31" ht="15" customHeight="1" x14ac:dyDescent="0.25">
      <c r="H15" s="121"/>
      <c r="I15" s="17">
        <v>9</v>
      </c>
      <c r="J15" s="16">
        <f t="shared" si="0"/>
        <v>6.7309572649369461E-15</v>
      </c>
      <c r="K15" s="16">
        <f t="shared" si="0"/>
        <v>1.3588266049712661E-14</v>
      </c>
      <c r="L15" s="16">
        <f t="shared" si="0"/>
        <v>1.3715803486051654E-14</v>
      </c>
      <c r="M15" s="16">
        <f t="shared" si="0"/>
        <v>9.2296919798173826E-15</v>
      </c>
      <c r="N15" s="16">
        <f t="shared" si="0"/>
        <v>4.6581602453478308E-15</v>
      </c>
      <c r="O15" s="16">
        <f t="shared" si="0"/>
        <v>1.8807524167685843E-15</v>
      </c>
      <c r="P15" s="16">
        <f t="shared" si="0"/>
        <v>6.3280162604852971E-16</v>
      </c>
      <c r="Q15" s="16">
        <f t="shared" si="0"/>
        <v>1.8249743075137811E-16</v>
      </c>
      <c r="R15" s="16">
        <f t="shared" si="0"/>
        <v>4.6052581097132588E-17</v>
      </c>
      <c r="S15" s="16">
        <f t="shared" si="0"/>
        <v>1.0329960832756433E-17</v>
      </c>
      <c r="T15" s="16">
        <f t="shared" si="0"/>
        <v>2.0853832605624317E-18</v>
      </c>
      <c r="U15" s="16">
        <f t="shared" si="0"/>
        <v>3.8271933754304748E-19</v>
      </c>
      <c r="V15" s="16">
        <f t="shared" si="0"/>
        <v>6.4385247350517421E-20</v>
      </c>
      <c r="W15" s="16">
        <f t="shared" si="0"/>
        <v>9.9983934875498768E-21</v>
      </c>
      <c r="X15" s="16">
        <f t="shared" si="2"/>
        <v>1.4417481308583294E-21</v>
      </c>
      <c r="Y15" s="16">
        <f t="shared" si="2"/>
        <v>1.9403735514047493E-22</v>
      </c>
      <c r="Z15" s="16">
        <f t="shared" si="2"/>
        <v>2.4482320098120976E-23</v>
      </c>
      <c r="AC15" s="54">
        <f>1-AD15</f>
        <v>-1.8449092924990307E-3</v>
      </c>
      <c r="AD15" s="54">
        <f>SUM(J6:T6,J6:J16)</f>
        <v>1.001844909292499</v>
      </c>
    </row>
    <row r="16" spans="2:31" ht="15" customHeight="1" x14ac:dyDescent="0.25">
      <c r="H16" s="121"/>
      <c r="I16" s="17">
        <v>10</v>
      </c>
      <c r="J16" s="16">
        <f t="shared" si="0"/>
        <v>9.4484276380075179E-17</v>
      </c>
      <c r="K16" s="16">
        <f t="shared" si="0"/>
        <v>1.9074218338230236E-16</v>
      </c>
      <c r="L16" s="16">
        <f t="shared" si="0"/>
        <v>1.9253246103666102E-16</v>
      </c>
      <c r="M16" s="16">
        <f t="shared" si="0"/>
        <v>1.2955969464652337E-16</v>
      </c>
      <c r="N16" s="16">
        <f t="shared" si="0"/>
        <v>6.5387861298246725E-17</v>
      </c>
      <c r="O16" s="16">
        <f t="shared" si="0"/>
        <v>2.6400632800648442E-17</v>
      </c>
      <c r="P16" s="16">
        <f t="shared" si="0"/>
        <v>8.8828083994513899E-18</v>
      </c>
      <c r="Q16" s="16">
        <f t="shared" si="0"/>
        <v>2.5617660322388587E-18</v>
      </c>
      <c r="R16" s="16">
        <f t="shared" si="0"/>
        <v>6.4645259643288827E-19</v>
      </c>
      <c r="S16" s="16">
        <f t="shared" si="0"/>
        <v>1.4500446755200925E-19</v>
      </c>
      <c r="T16" s="16">
        <f t="shared" si="0"/>
        <v>2.9273091566896009E-20</v>
      </c>
      <c r="U16" s="16">
        <f t="shared" si="0"/>
        <v>5.372335351583208E-21</v>
      </c>
      <c r="V16" s="16">
        <f t="shared" si="0"/>
        <v>9.0379321484561203E-22</v>
      </c>
      <c r="W16" s="16">
        <f t="shared" si="0"/>
        <v>1.4035016661827759E-22</v>
      </c>
      <c r="X16" s="16">
        <f t="shared" si="2"/>
        <v>2.0238210332442407E-23</v>
      </c>
      <c r="Y16" s="16">
        <f t="shared" si="2"/>
        <v>2.7237550870594002E-24</v>
      </c>
      <c r="Z16" s="16">
        <f t="shared" si="2"/>
        <v>3.4366498070434572E-25</v>
      </c>
      <c r="AC16" s="23">
        <f>1/AC15</f>
        <v>-542.03206849559808</v>
      </c>
      <c r="AD16" s="23">
        <f>1/AD15</f>
        <v>0.99815848812986241</v>
      </c>
    </row>
    <row r="17" spans="9:29" ht="16.5" customHeight="1" x14ac:dyDescent="0.25">
      <c r="I17" s="15">
        <v>11</v>
      </c>
      <c r="J17" s="16">
        <f t="shared" si="0"/>
        <v>1.2057286047788663E-18</v>
      </c>
      <c r="K17" s="16">
        <f t="shared" si="0"/>
        <v>2.4340907868826827E-18</v>
      </c>
      <c r="L17" s="16">
        <f t="shared" si="0"/>
        <v>2.4569367995850865E-18</v>
      </c>
      <c r="M17" s="16">
        <f t="shared" si="0"/>
        <v>1.6533314943677856E-18</v>
      </c>
      <c r="N17" s="16">
        <f t="shared" si="0"/>
        <v>8.3442470846117224E-19</v>
      </c>
      <c r="O17" s="16">
        <f t="shared" si="0"/>
        <v>3.3690259767621759E-19</v>
      </c>
      <c r="P17" s="16">
        <f t="shared" si="0"/>
        <v>1.133549050521923E-19</v>
      </c>
      <c r="Q17" s="16">
        <f t="shared" si="0"/>
        <v>3.2691096361855773E-20</v>
      </c>
      <c r="R17" s="16">
        <f t="shared" si="0"/>
        <v>8.2494825278364651E-21</v>
      </c>
      <c r="S17" s="16">
        <f t="shared" si="0"/>
        <v>1.8504246531442545E-21</v>
      </c>
      <c r="T17" s="16">
        <f t="shared" si="0"/>
        <v>3.7355849253199764E-22</v>
      </c>
      <c r="U17" s="16">
        <f t="shared" si="0"/>
        <v>6.8557210321553471E-23</v>
      </c>
      <c r="V17" s="16">
        <f t="shared" si="0"/>
        <v>1.1533446343609906E-23</v>
      </c>
      <c r="W17" s="16">
        <f t="shared" si="0"/>
        <v>1.7910303921512935E-24</v>
      </c>
      <c r="X17" s="16">
        <f t="shared" si="2"/>
        <v>2.5826296228589057E-25</v>
      </c>
      <c r="Y17" s="16">
        <f t="shared" si="2"/>
        <v>3.4758263985308161E-26</v>
      </c>
      <c r="Z17" s="16">
        <f t="shared" si="2"/>
        <v>4.3855624826840321E-27</v>
      </c>
    </row>
    <row r="18" spans="9:29" ht="15" customHeight="1" x14ac:dyDescent="0.25">
      <c r="I18" s="15">
        <v>12</v>
      </c>
      <c r="J18" s="16">
        <f t="shared" si="0"/>
        <v>1.4104283418786099E-20</v>
      </c>
      <c r="K18" s="16">
        <f t="shared" si="0"/>
        <v>2.8473328234213906E-20</v>
      </c>
      <c r="L18" s="16">
        <f t="shared" si="0"/>
        <v>2.8740574641794151E-20</v>
      </c>
      <c r="M18" s="16">
        <f t="shared" si="0"/>
        <v>1.9340219589503041E-20</v>
      </c>
      <c r="N18" s="16">
        <f t="shared" si="0"/>
        <v>9.7608720014839445E-21</v>
      </c>
      <c r="O18" s="16">
        <f t="shared" si="0"/>
        <v>3.9409944354949814E-21</v>
      </c>
      <c r="P18" s="16">
        <f t="shared" si="0"/>
        <v>1.3259946736180575E-21</v>
      </c>
      <c r="Q18" s="16">
        <f t="shared" si="0"/>
        <v>3.8241150332750465E-22</v>
      </c>
      <c r="R18" s="16">
        <f t="shared" si="0"/>
        <v>9.6500190150393709E-23</v>
      </c>
      <c r="S18" s="16">
        <f t="shared" si="0"/>
        <v>2.1645761450473454E-23</v>
      </c>
      <c r="T18" s="16">
        <f t="shared" si="0"/>
        <v>4.3697850671230385E-24</v>
      </c>
      <c r="U18" s="16">
        <f t="shared" si="0"/>
        <v>8.0196349405997477E-25</v>
      </c>
      <c r="V18" s="16">
        <f t="shared" si="0"/>
        <v>1.3491510061293656E-25</v>
      </c>
      <c r="W18" s="16">
        <f t="shared" si="0"/>
        <v>2.0950983631340836E-26</v>
      </c>
      <c r="X18" s="16">
        <f t="shared" si="2"/>
        <v>3.0210894908009011E-27</v>
      </c>
      <c r="Y18" s="16">
        <f t="shared" si="2"/>
        <v>4.0659266475948238E-28</v>
      </c>
      <c r="Z18" s="16">
        <f t="shared" si="2"/>
        <v>5.1301110350546264E-29</v>
      </c>
      <c r="AB18" s="39"/>
      <c r="AC18" s="40"/>
    </row>
    <row r="19" spans="9:29" ht="15" customHeight="1" x14ac:dyDescent="0.25">
      <c r="I19" s="15">
        <v>13</v>
      </c>
      <c r="J19" s="16">
        <f t="shared" si="0"/>
        <v>1.5229666109883534E-22</v>
      </c>
      <c r="K19" s="16">
        <f t="shared" si="0"/>
        <v>3.074521896423428E-22</v>
      </c>
      <c r="L19" s="16">
        <f t="shared" si="0"/>
        <v>3.103378899900059E-22</v>
      </c>
      <c r="M19" s="16">
        <f t="shared" si="0"/>
        <v>2.0883378339352066E-22</v>
      </c>
      <c r="N19" s="16">
        <f t="shared" si="0"/>
        <v>1.0539693305220411E-22</v>
      </c>
      <c r="O19" s="16">
        <f t="shared" si="0"/>
        <v>4.255446917179377E-23</v>
      </c>
      <c r="P19" s="16">
        <f t="shared" si="0"/>
        <v>1.4317959688607185E-23</v>
      </c>
      <c r="Q19" s="16">
        <f t="shared" si="0"/>
        <v>4.1292416915695824E-24</v>
      </c>
      <c r="R19" s="16">
        <f t="shared" si="0"/>
        <v>1.0419995343919829E-24</v>
      </c>
      <c r="S19" s="16">
        <f t="shared" si="0"/>
        <v>2.3372879698788085E-25</v>
      </c>
      <c r="T19" s="16">
        <f t="shared" si="0"/>
        <v>4.7184508115880316E-26</v>
      </c>
      <c r="U19" s="16">
        <f t="shared" si="0"/>
        <v>8.6595227025721256E-27</v>
      </c>
      <c r="V19" s="16">
        <f t="shared" si="0"/>
        <v>1.4567999482906082E-27</v>
      </c>
      <c r="W19" s="16">
        <f t="shared" si="0"/>
        <v>2.2622665463029806E-28</v>
      </c>
      <c r="X19" s="16">
        <f t="shared" si="2"/>
        <v>3.2621426319108741E-29</v>
      </c>
      <c r="Y19" s="16">
        <f t="shared" si="2"/>
        <v>4.3903474874639684E-30</v>
      </c>
      <c r="Z19" s="16">
        <f t="shared" si="2"/>
        <v>5.5394432918475278E-31</v>
      </c>
      <c r="AB19" s="41"/>
      <c r="AC19" s="42"/>
    </row>
    <row r="20" spans="9:29" ht="15" customHeight="1" x14ac:dyDescent="0.25">
      <c r="I20" s="15">
        <v>14</v>
      </c>
      <c r="J20" s="16">
        <f t="shared" ref="J20:W22" si="3">_xlfn.POISSON.DIST(J$5,$F$7,FALSE)*_xlfn.POISSON.DIST($I20,$F$8,FALSE)</f>
        <v>1.5270211578950984E-24</v>
      </c>
      <c r="K20" s="16">
        <f t="shared" si="3"/>
        <v>3.0827071009807186E-24</v>
      </c>
      <c r="L20" s="16">
        <f t="shared" si="3"/>
        <v>3.1116409295652278E-24</v>
      </c>
      <c r="M20" s="16">
        <f t="shared" si="3"/>
        <v>2.0938975511632326E-24</v>
      </c>
      <c r="N20" s="16">
        <f t="shared" si="3"/>
        <v>1.0567752804739568E-24</v>
      </c>
      <c r="O20" s="16">
        <f t="shared" si="3"/>
        <v>4.2667760618962591E-25</v>
      </c>
      <c r="P20" s="16">
        <f t="shared" si="3"/>
        <v>1.4356077949866153E-25</v>
      </c>
      <c r="Q20" s="16">
        <f t="shared" si="3"/>
        <v>4.1402348440175471E-26</v>
      </c>
      <c r="R20" s="16">
        <f t="shared" si="3"/>
        <v>1.0447736175258586E-26</v>
      </c>
      <c r="S20" s="16">
        <f t="shared" si="3"/>
        <v>2.3435104593543292E-27</v>
      </c>
      <c r="T20" s="16">
        <f t="shared" si="3"/>
        <v>4.7310125972534021E-28</v>
      </c>
      <c r="U20" s="16">
        <f t="shared" si="3"/>
        <v>8.6825766820450019E-29</v>
      </c>
      <c r="V20" s="16">
        <f t="shared" si="3"/>
        <v>1.4606783417376283E-29</v>
      </c>
      <c r="W20" s="16">
        <f t="shared" si="3"/>
        <v>2.2682893085627468E-30</v>
      </c>
      <c r="X20" s="16">
        <f t="shared" si="2"/>
        <v>3.2708273333495954E-31</v>
      </c>
      <c r="Y20" s="16">
        <f t="shared" si="2"/>
        <v>4.4020357737969696E-32</v>
      </c>
      <c r="Z20" s="16">
        <f t="shared" si="2"/>
        <v>5.5541907804017739E-33</v>
      </c>
      <c r="AB20" s="43"/>
      <c r="AC20" s="42"/>
    </row>
    <row r="21" spans="9:29" ht="15" customHeight="1" x14ac:dyDescent="0.25">
      <c r="I21" s="15">
        <v>15</v>
      </c>
      <c r="J21" s="16">
        <f t="shared" si="3"/>
        <v>1.4290140658235635E-26</v>
      </c>
      <c r="K21" s="16">
        <f t="shared" si="3"/>
        <v>2.8848531569712884E-26</v>
      </c>
      <c r="L21" s="16">
        <f t="shared" si="3"/>
        <v>2.911929957978018E-26</v>
      </c>
      <c r="M21" s="16">
        <f t="shared" si="3"/>
        <v>1.9595072651975198E-26</v>
      </c>
      <c r="N21" s="16">
        <f t="shared" si="3"/>
        <v>9.8894945391167145E-27</v>
      </c>
      <c r="O21" s="16">
        <f t="shared" si="3"/>
        <v>3.9929263433217545E-27</v>
      </c>
      <c r="P21" s="16">
        <f t="shared" si="3"/>
        <v>1.3434677846046949E-27</v>
      </c>
      <c r="Q21" s="16">
        <f t="shared" si="3"/>
        <v>3.874506778982262E-28</v>
      </c>
      <c r="R21" s="16">
        <f t="shared" si="3"/>
        <v>9.7771808028110116E-29</v>
      </c>
      <c r="S21" s="16">
        <f t="shared" si="3"/>
        <v>2.193099547119724E-29</v>
      </c>
      <c r="T21" s="16">
        <f t="shared" si="3"/>
        <v>4.4273673040540936E-30</v>
      </c>
      <c r="U21" s="16">
        <f t="shared" si="3"/>
        <v>8.1253125682534597E-31</v>
      </c>
      <c r="V21" s="16">
        <f t="shared" si="3"/>
        <v>1.3669292564774679E-31</v>
      </c>
      <c r="W21" s="16">
        <f t="shared" si="3"/>
        <v>2.1227062313671269E-32</v>
      </c>
      <c r="X21" s="16">
        <f t="shared" si="2"/>
        <v>3.0608994787470015E-33</v>
      </c>
      <c r="Y21" s="16">
        <f t="shared" si="2"/>
        <v>4.1195048323269703E-34</v>
      </c>
      <c r="Z21" s="16">
        <f t="shared" si="2"/>
        <v>5.1977123620227785E-35</v>
      </c>
      <c r="AB21" s="43"/>
      <c r="AC21" s="42"/>
    </row>
    <row r="22" spans="9:29" ht="15" customHeight="1" x14ac:dyDescent="0.25">
      <c r="I22" s="15">
        <v>16</v>
      </c>
      <c r="J22" s="16">
        <f t="shared" si="3"/>
        <v>1.2537161750531615E-28</v>
      </c>
      <c r="K22" s="16">
        <f t="shared" si="3"/>
        <v>2.5309667357708407E-28</v>
      </c>
      <c r="L22" s="16">
        <f t="shared" si="3"/>
        <v>2.5547220116653918E-28</v>
      </c>
      <c r="M22" s="16">
        <f t="shared" si="3"/>
        <v>1.7191335006884624E-28</v>
      </c>
      <c r="N22" s="16">
        <f t="shared" si="3"/>
        <v>8.676345155248711E-29</v>
      </c>
      <c r="O22" s="16">
        <f t="shared" si="3"/>
        <v>3.503112014179736E-29</v>
      </c>
      <c r="P22" s="16">
        <f t="shared" si="3"/>
        <v>1.1786639001702467E-29</v>
      </c>
      <c r="Q22" s="16">
        <f t="shared" si="3"/>
        <v>3.3992190387319349E-30</v>
      </c>
      <c r="R22" s="16">
        <f t="shared" si="3"/>
        <v>8.5778090027679694E-31</v>
      </c>
      <c r="S22" s="16">
        <f t="shared" si="3"/>
        <v>1.9240708971896416E-31</v>
      </c>
      <c r="T22" s="16">
        <f t="shared" si="3"/>
        <v>3.8842598787123843E-32</v>
      </c>
      <c r="U22" s="16">
        <f t="shared" si="3"/>
        <v>7.1285762945316245E-33</v>
      </c>
      <c r="V22" s="16">
        <f t="shared" si="3"/>
        <v>1.199247341216013E-33</v>
      </c>
      <c r="W22" s="16">
        <f t="shared" si="3"/>
        <v>1.8623127657021158E-34</v>
      </c>
      <c r="X22" s="16">
        <f t="shared" si="2"/>
        <v>2.6854173646676429E-35</v>
      </c>
      <c r="Y22" s="16">
        <f t="shared" si="2"/>
        <v>3.6141630548062468E-36</v>
      </c>
      <c r="Z22" s="16">
        <f t="shared" si="2"/>
        <v>4.5601063120300326E-37</v>
      </c>
      <c r="AB22" s="43"/>
      <c r="AC22" s="42"/>
    </row>
    <row r="23" spans="9:29" ht="15" customHeight="1" x14ac:dyDescent="0.25">
      <c r="AB23" s="43"/>
      <c r="AC23" s="42"/>
    </row>
    <row r="24" spans="9:29" ht="15" customHeight="1" x14ac:dyDescent="0.25">
      <c r="AB24" s="43"/>
      <c r="AC24" s="42"/>
    </row>
    <row r="25" spans="9:29" ht="15" customHeight="1" x14ac:dyDescent="0.25">
      <c r="AB25" s="43"/>
      <c r="AC25" s="42"/>
    </row>
    <row r="26" spans="9:29" ht="15" customHeight="1" x14ac:dyDescent="0.25">
      <c r="AB26" s="43"/>
      <c r="AC26" s="42"/>
    </row>
    <row r="27" spans="9:29" ht="15" customHeight="1" x14ac:dyDescent="0.25">
      <c r="AB27" s="43"/>
      <c r="AC27" s="42"/>
    </row>
    <row r="28" spans="9:29" ht="15" customHeight="1" x14ac:dyDescent="0.25">
      <c r="AB28" s="43"/>
      <c r="AC28" s="42"/>
    </row>
    <row r="29" spans="9:29" ht="15" customHeight="1" x14ac:dyDescent="0.25">
      <c r="AB29" s="43"/>
      <c r="AC29" s="42"/>
    </row>
    <row r="30" spans="9:29" ht="15" customHeight="1" x14ac:dyDescent="0.25">
      <c r="AB30" s="43"/>
      <c r="AC30" s="42"/>
    </row>
    <row r="31" spans="9:29" ht="15" customHeight="1" x14ac:dyDescent="0.25">
      <c r="AB31" s="43"/>
      <c r="AC31" s="42"/>
    </row>
    <row r="32" spans="9:29" ht="15" customHeight="1" x14ac:dyDescent="0.25">
      <c r="AB32" s="43"/>
      <c r="AC32" s="42"/>
    </row>
    <row r="33" spans="28:29" ht="15" customHeight="1" x14ac:dyDescent="0.25">
      <c r="AB33" s="43"/>
      <c r="AC33" s="42"/>
    </row>
    <row r="34" spans="28:29" ht="15" customHeight="1" x14ac:dyDescent="0.25">
      <c r="AB34" s="44"/>
      <c r="AC34" s="42"/>
    </row>
    <row r="35" spans="28:29" ht="15" customHeight="1" x14ac:dyDescent="0.25">
      <c r="AB35" s="44"/>
      <c r="AC35" s="45"/>
    </row>
    <row r="36" spans="28:29" ht="15" customHeight="1" x14ac:dyDescent="0.25">
      <c r="AB36" s="41"/>
      <c r="AC36" s="46"/>
    </row>
    <row r="37" spans="28:29" ht="15" customHeight="1" x14ac:dyDescent="0.25">
      <c r="AB37" s="41"/>
      <c r="AC37" s="46"/>
    </row>
    <row r="38" spans="28:29" ht="15" customHeight="1" x14ac:dyDescent="0.25">
      <c r="AB38" s="44"/>
      <c r="AC38" s="42"/>
    </row>
    <row r="39" spans="28:29" ht="15" customHeight="1" x14ac:dyDescent="0.25">
      <c r="AB39" s="47"/>
      <c r="AC39" s="40"/>
    </row>
  </sheetData>
  <mergeCells count="9">
    <mergeCell ref="D4:E5"/>
    <mergeCell ref="B2:F2"/>
    <mergeCell ref="B5:C5"/>
    <mergeCell ref="B4:C4"/>
    <mergeCell ref="AB4:AE4"/>
    <mergeCell ref="AB2:AE2"/>
    <mergeCell ref="H2:T2"/>
    <mergeCell ref="J4:T4"/>
    <mergeCell ref="H6:H16"/>
  </mergeCells>
  <conditionalFormatting sqref="J6:Z22">
    <cfRule type="colorScale" priority="2">
      <colorScale>
        <cfvo type="min"/>
        <cfvo type="max"/>
        <color rgb="FFFCFCFF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C6:AE6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R65"/>
  <sheetViews>
    <sheetView topLeftCell="S1" workbookViewId="0">
      <selection sqref="A1:R1048576"/>
    </sheetView>
  </sheetViews>
  <sheetFormatPr defaultColWidth="8.85546875" defaultRowHeight="11.25" x14ac:dyDescent="0.2"/>
  <cols>
    <col min="1" max="1" width="0" style="63" hidden="1" customWidth="1"/>
    <col min="2" max="3" width="4.7109375" style="63" hidden="1" customWidth="1"/>
    <col min="4" max="4" width="0" style="63" hidden="1" customWidth="1"/>
    <col min="5" max="6" width="4.7109375" style="63" hidden="1" customWidth="1"/>
    <col min="7" max="7" width="0" style="63" hidden="1" customWidth="1"/>
    <col min="8" max="9" width="4.7109375" style="63" hidden="1" customWidth="1"/>
    <col min="10" max="11" width="0" style="63" hidden="1" customWidth="1"/>
    <col min="12" max="12" width="4.7109375" style="63" hidden="1" customWidth="1"/>
    <col min="13" max="14" width="0" style="63" hidden="1" customWidth="1"/>
    <col min="15" max="18" width="0" style="59" hidden="1" customWidth="1"/>
    <col min="19" max="16384" width="8.85546875" style="57"/>
  </cols>
  <sheetData>
    <row r="1" spans="1:14" x14ac:dyDescent="0.2">
      <c r="A1" s="58"/>
      <c r="B1" s="130" t="s">
        <v>81</v>
      </c>
      <c r="C1" s="130"/>
      <c r="D1" s="130"/>
      <c r="E1" s="130"/>
      <c r="F1" s="130"/>
      <c r="G1" s="130"/>
      <c r="H1" s="130"/>
      <c r="I1" s="130"/>
      <c r="J1" s="130"/>
      <c r="K1" s="58"/>
      <c r="L1" s="58"/>
      <c r="M1" s="131" t="s">
        <v>82</v>
      </c>
      <c r="N1" s="131"/>
    </row>
    <row r="2" spans="1:14" x14ac:dyDescent="0.2">
      <c r="A2" s="58"/>
      <c r="B2" s="132">
        <f>Analysis!C16</f>
        <v>2.0187717013888888</v>
      </c>
      <c r="C2" s="132"/>
      <c r="D2" s="132"/>
      <c r="E2" s="131"/>
      <c r="F2" s="133"/>
      <c r="G2" s="133"/>
      <c r="H2" s="132">
        <f>Analysis!E16</f>
        <v>0.14037271767013731</v>
      </c>
      <c r="I2" s="132"/>
      <c r="J2" s="132"/>
      <c r="K2" s="58"/>
      <c r="L2" s="58"/>
      <c r="M2" s="60">
        <f>D6</f>
        <v>0.23301436820217067</v>
      </c>
      <c r="N2" s="61" t="s">
        <v>83</v>
      </c>
    </row>
    <row r="3" spans="1:14" x14ac:dyDescent="0.2">
      <c r="A3" s="58"/>
      <c r="B3" s="132"/>
      <c r="C3" s="132"/>
      <c r="D3" s="132"/>
      <c r="E3" s="133"/>
      <c r="F3" s="133"/>
      <c r="G3" s="133"/>
      <c r="H3" s="132"/>
      <c r="I3" s="132"/>
      <c r="J3" s="132"/>
      <c r="K3" s="58"/>
      <c r="L3" s="58"/>
      <c r="M3" s="60">
        <f t="shared" ref="M3:M29" si="0">D7</f>
        <v>0.23520140627177658</v>
      </c>
      <c r="N3" s="61" t="s">
        <v>84</v>
      </c>
    </row>
    <row r="4" spans="1:14" x14ac:dyDescent="0.2">
      <c r="A4" s="62"/>
      <c r="B4" s="131">
        <v>1</v>
      </c>
      <c r="C4" s="131"/>
      <c r="D4" s="131"/>
      <c r="E4" s="131" t="s">
        <v>85</v>
      </c>
      <c r="F4" s="133"/>
      <c r="G4" s="133"/>
      <c r="H4" s="131">
        <v>2</v>
      </c>
      <c r="I4" s="131"/>
      <c r="J4" s="131"/>
      <c r="K4" s="58"/>
      <c r="L4" s="58"/>
      <c r="M4" s="60">
        <f t="shared" si="0"/>
        <v>0.15827264770277788</v>
      </c>
      <c r="N4" s="61" t="s">
        <v>86</v>
      </c>
    </row>
    <row r="5" spans="1:14" x14ac:dyDescent="0.2">
      <c r="A5" s="62"/>
      <c r="B5" s="131"/>
      <c r="C5" s="131"/>
      <c r="D5" s="131"/>
      <c r="E5" s="133"/>
      <c r="F5" s="133"/>
      <c r="G5" s="133"/>
      <c r="H5" s="131"/>
      <c r="I5" s="131"/>
      <c r="J5" s="131"/>
      <c r="K5" s="58"/>
      <c r="L5" s="58"/>
      <c r="M5" s="60">
        <f t="shared" si="0"/>
        <v>7.9879085571565284E-2</v>
      </c>
      <c r="N5" s="61" t="s">
        <v>87</v>
      </c>
    </row>
    <row r="6" spans="1:14" x14ac:dyDescent="0.2">
      <c r="A6" s="62"/>
      <c r="B6" s="58">
        <v>1</v>
      </c>
      <c r="C6" s="58">
        <v>0</v>
      </c>
      <c r="D6" s="60">
        <f>((POISSON(B6,$B$2,FALSE)*POISSON(C6,$H$2,FALSE)))*100%</f>
        <v>0.23301436820217067</v>
      </c>
      <c r="E6" s="58">
        <v>0</v>
      </c>
      <c r="F6" s="58">
        <v>0</v>
      </c>
      <c r="G6" s="60">
        <f>((POISSON(E6,$B$2,FALSE)*POISSON(F6,$H$2,FALSE)))*100%</f>
        <v>0.1154238332357541</v>
      </c>
      <c r="H6" s="58">
        <v>0</v>
      </c>
      <c r="I6" s="58">
        <v>1</v>
      </c>
      <c r="J6" s="60">
        <f>((POISSON(H6,$B$2,FALSE)*POISSON(I6,$H$2,FALSE)))*100%</f>
        <v>1.6202357155207524E-2</v>
      </c>
      <c r="K6" s="58"/>
      <c r="L6" s="58"/>
      <c r="M6" s="60">
        <f t="shared" si="0"/>
        <v>3.2251527496939492E-2</v>
      </c>
      <c r="N6" s="61" t="s">
        <v>88</v>
      </c>
    </row>
    <row r="7" spans="1:14" x14ac:dyDescent="0.2">
      <c r="A7" s="58"/>
      <c r="B7" s="58">
        <v>2</v>
      </c>
      <c r="C7" s="58">
        <v>0</v>
      </c>
      <c r="D7" s="60">
        <f t="shared" ref="D7:D33" si="1">((POISSON(B7,$B$2,FALSE)*POISSON(C7,$H$2,FALSE)))*100%</f>
        <v>0.23520140627177658</v>
      </c>
      <c r="E7" s="58">
        <v>1</v>
      </c>
      <c r="F7" s="58">
        <v>1</v>
      </c>
      <c r="G7" s="60">
        <f t="shared" ref="G7:G13" si="2">((POISSON(E7,$B$2,FALSE)*POISSON(F7,$H$2,FALSE)))*100%</f>
        <v>3.2708860120728732E-2</v>
      </c>
      <c r="H7" s="58">
        <v>0</v>
      </c>
      <c r="I7" s="58">
        <v>2</v>
      </c>
      <c r="J7" s="60">
        <f t="shared" ref="J7:J33" si="3">((POISSON(H7,$B$2,FALSE)*POISSON(I7,$H$2,FALSE)))*100%</f>
        <v>1.1371844532693375E-3</v>
      </c>
      <c r="K7" s="58"/>
      <c r="L7" s="58"/>
      <c r="M7" s="60">
        <f t="shared" si="0"/>
        <v>1.0851411839564508E-2</v>
      </c>
      <c r="N7" s="61" t="s">
        <v>89</v>
      </c>
    </row>
    <row r="8" spans="1:14" x14ac:dyDescent="0.2">
      <c r="A8" s="58"/>
      <c r="B8" s="58">
        <v>3</v>
      </c>
      <c r="C8" s="58">
        <v>0</v>
      </c>
      <c r="D8" s="60">
        <f t="shared" si="1"/>
        <v>0.15827264770277788</v>
      </c>
      <c r="E8" s="58">
        <v>2</v>
      </c>
      <c r="F8" s="58">
        <v>2</v>
      </c>
      <c r="G8" s="60">
        <f t="shared" si="2"/>
        <v>2.3172630391943864E-3</v>
      </c>
      <c r="H8" s="58">
        <v>0</v>
      </c>
      <c r="I8" s="58">
        <v>3</v>
      </c>
      <c r="J8" s="60">
        <f t="shared" si="3"/>
        <v>5.3209890732548726E-5</v>
      </c>
      <c r="K8" s="58"/>
      <c r="L8" s="58"/>
      <c r="M8" s="60">
        <f t="shared" si="0"/>
        <v>3.1295033059755991E-3</v>
      </c>
      <c r="N8" s="61" t="s">
        <v>90</v>
      </c>
    </row>
    <row r="9" spans="1:14" x14ac:dyDescent="0.2">
      <c r="A9" s="58"/>
      <c r="B9" s="58">
        <v>4</v>
      </c>
      <c r="C9" s="58">
        <v>0</v>
      </c>
      <c r="D9" s="60">
        <f t="shared" si="1"/>
        <v>7.9879085571565284E-2</v>
      </c>
      <c r="E9" s="58">
        <v>3</v>
      </c>
      <c r="F9" s="58">
        <v>3</v>
      </c>
      <c r="G9" s="60">
        <f t="shared" si="2"/>
        <v>7.2963009927201625E-5</v>
      </c>
      <c r="H9" s="58">
        <v>0</v>
      </c>
      <c r="I9" s="58">
        <v>4</v>
      </c>
      <c r="J9" s="60">
        <f t="shared" si="3"/>
        <v>1.8673042422647294E-6</v>
      </c>
      <c r="K9" s="58"/>
      <c r="L9" s="58"/>
      <c r="M9" s="60">
        <f t="shared" si="0"/>
        <v>3.301586059820736E-2</v>
      </c>
      <c r="N9" s="61" t="s">
        <v>91</v>
      </c>
    </row>
    <row r="10" spans="1:14" x14ac:dyDescent="0.2">
      <c r="A10" s="58"/>
      <c r="B10" s="58">
        <v>5</v>
      </c>
      <c r="C10" s="58">
        <v>0</v>
      </c>
      <c r="D10" s="60">
        <f t="shared" si="1"/>
        <v>3.2251527496939492E-2</v>
      </c>
      <c r="E10" s="58">
        <v>4</v>
      </c>
      <c r="F10" s="58">
        <v>4</v>
      </c>
      <c r="G10" s="60">
        <f t="shared" si="2"/>
        <v>1.2922682532242164E-6</v>
      </c>
      <c r="H10" s="58">
        <v>0</v>
      </c>
      <c r="I10" s="58">
        <v>5</v>
      </c>
      <c r="J10" s="60">
        <f t="shared" si="3"/>
        <v>5.2423714240735288E-8</v>
      </c>
      <c r="K10" s="58"/>
      <c r="L10" s="58"/>
      <c r="M10" s="60">
        <f t="shared" si="0"/>
        <v>2.2217161690887149E-2</v>
      </c>
      <c r="N10" s="61" t="s">
        <v>92</v>
      </c>
    </row>
    <row r="11" spans="1:14" x14ac:dyDescent="0.2">
      <c r="A11" s="58"/>
      <c r="B11" s="58">
        <v>6</v>
      </c>
      <c r="C11" s="58">
        <v>0</v>
      </c>
      <c r="D11" s="60">
        <f t="shared" si="1"/>
        <v>1.0851411839564508E-2</v>
      </c>
      <c r="E11" s="58">
        <v>5</v>
      </c>
      <c r="F11" s="58">
        <v>5</v>
      </c>
      <c r="G11" s="60">
        <f t="shared" si="2"/>
        <v>1.4648143402701007E-8</v>
      </c>
      <c r="H11" s="58">
        <v>0</v>
      </c>
      <c r="I11" s="58">
        <v>6</v>
      </c>
      <c r="J11" s="60">
        <f t="shared" si="3"/>
        <v>1.226476539722449E-9</v>
      </c>
      <c r="K11" s="58"/>
      <c r="L11" s="58"/>
      <c r="M11" s="60">
        <f t="shared" si="0"/>
        <v>1.1212844326686075E-2</v>
      </c>
      <c r="N11" s="61" t="s">
        <v>93</v>
      </c>
    </row>
    <row r="12" spans="1:14" x14ac:dyDescent="0.2">
      <c r="A12" s="58"/>
      <c r="B12" s="58">
        <v>7</v>
      </c>
      <c r="C12" s="58">
        <v>0</v>
      </c>
      <c r="D12" s="60">
        <f t="shared" si="1"/>
        <v>3.1295033059755991E-3</v>
      </c>
      <c r="E12" s="58">
        <v>6</v>
      </c>
      <c r="F12" s="58">
        <v>6</v>
      </c>
      <c r="G12" s="60">
        <f t="shared" si="2"/>
        <v>1.1530549342360301E-10</v>
      </c>
      <c r="H12" s="58">
        <v>0</v>
      </c>
      <c r="I12" s="58">
        <v>7</v>
      </c>
      <c r="J12" s="60">
        <f t="shared" si="3"/>
        <v>2.4594835005643823E-11</v>
      </c>
      <c r="K12" s="58"/>
      <c r="L12" s="58"/>
      <c r="M12" s="60">
        <f t="shared" si="0"/>
        <v>4.5272345637585587E-3</v>
      </c>
      <c r="N12" s="61" t="s">
        <v>94</v>
      </c>
    </row>
    <row r="13" spans="1:14" x14ac:dyDescent="0.2">
      <c r="A13" s="58"/>
      <c r="B13" s="58">
        <v>2</v>
      </c>
      <c r="C13" s="58">
        <v>1</v>
      </c>
      <c r="D13" s="60">
        <f t="shared" si="1"/>
        <v>3.301586059820736E-2</v>
      </c>
      <c r="E13" s="58">
        <v>7</v>
      </c>
      <c r="F13" s="58">
        <v>7</v>
      </c>
      <c r="G13" s="60">
        <f t="shared" si="2"/>
        <v>6.6684336590066E-13</v>
      </c>
      <c r="H13" s="58">
        <v>1</v>
      </c>
      <c r="I13" s="58">
        <v>2</v>
      </c>
      <c r="J13" s="60">
        <f t="shared" si="3"/>
        <v>2.2957157935195338E-3</v>
      </c>
      <c r="K13" s="58"/>
      <c r="L13" s="58"/>
      <c r="M13" s="60">
        <f t="shared" si="0"/>
        <v>1.5232421704775743E-3</v>
      </c>
      <c r="N13" s="61" t="s">
        <v>95</v>
      </c>
    </row>
    <row r="14" spans="1:14" x14ac:dyDescent="0.2">
      <c r="A14" s="58"/>
      <c r="B14" s="58">
        <v>3</v>
      </c>
      <c r="C14" s="58">
        <v>1</v>
      </c>
      <c r="D14" s="60">
        <f t="shared" si="1"/>
        <v>2.2217161690887149E-2</v>
      </c>
      <c r="E14" s="129">
        <f>SUM(G6:G13)</f>
        <v>0.15052422643797336</v>
      </c>
      <c r="F14" s="129"/>
      <c r="G14" s="129"/>
      <c r="H14" s="58">
        <v>1</v>
      </c>
      <c r="I14" s="58">
        <v>3</v>
      </c>
      <c r="J14" s="60">
        <f t="shared" si="3"/>
        <v>1.0741862164486425E-4</v>
      </c>
      <c r="K14" s="58"/>
      <c r="L14" s="58"/>
      <c r="M14" s="60">
        <f t="shared" si="0"/>
        <v>4.3929688401747418E-4</v>
      </c>
      <c r="N14" s="61" t="s">
        <v>96</v>
      </c>
    </row>
    <row r="15" spans="1:14" x14ac:dyDescent="0.2">
      <c r="A15" s="58"/>
      <c r="B15" s="58">
        <v>4</v>
      </c>
      <c r="C15" s="58">
        <v>1</v>
      </c>
      <c r="D15" s="60">
        <f t="shared" si="1"/>
        <v>1.1212844326686075E-2</v>
      </c>
      <c r="E15" s="129"/>
      <c r="F15" s="129"/>
      <c r="G15" s="129"/>
      <c r="H15" s="58">
        <v>1</v>
      </c>
      <c r="I15" s="58">
        <v>4</v>
      </c>
      <c r="J15" s="60">
        <f t="shared" si="3"/>
        <v>3.7696609621674577E-6</v>
      </c>
      <c r="K15" s="58"/>
      <c r="L15" s="58"/>
      <c r="M15" s="60">
        <f t="shared" si="0"/>
        <v>1.5593416827333461E-3</v>
      </c>
      <c r="N15" s="61" t="s">
        <v>97</v>
      </c>
    </row>
    <row r="16" spans="1:14" x14ac:dyDescent="0.2">
      <c r="A16" s="58"/>
      <c r="B16" s="58">
        <v>5</v>
      </c>
      <c r="C16" s="58">
        <v>1</v>
      </c>
      <c r="D16" s="60">
        <f t="shared" si="1"/>
        <v>4.5272345637585587E-3</v>
      </c>
      <c r="E16" s="129">
        <f>1-E14</f>
        <v>0.84947577356202664</v>
      </c>
      <c r="F16" s="129"/>
      <c r="G16" s="129"/>
      <c r="H16" s="58">
        <v>1</v>
      </c>
      <c r="I16" s="58">
        <v>5</v>
      </c>
      <c r="J16" s="60">
        <f t="shared" si="3"/>
        <v>1.0583151079089409E-7</v>
      </c>
      <c r="K16" s="58"/>
      <c r="L16" s="58"/>
      <c r="M16" s="60">
        <f t="shared" si="0"/>
        <v>7.8698871547455262E-4</v>
      </c>
      <c r="N16" s="61" t="s">
        <v>98</v>
      </c>
    </row>
    <row r="17" spans="1:14" x14ac:dyDescent="0.2">
      <c r="A17" s="58"/>
      <c r="B17" s="58">
        <v>6</v>
      </c>
      <c r="C17" s="58">
        <v>1</v>
      </c>
      <c r="D17" s="60">
        <f t="shared" si="1"/>
        <v>1.5232421704775743E-3</v>
      </c>
      <c r="E17" s="129"/>
      <c r="F17" s="129"/>
      <c r="G17" s="129"/>
      <c r="H17" s="58">
        <v>1</v>
      </c>
      <c r="I17" s="58">
        <v>6</v>
      </c>
      <c r="J17" s="60">
        <f t="shared" si="3"/>
        <v>2.4759761308090454E-9</v>
      </c>
      <c r="K17" s="58"/>
      <c r="L17" s="58"/>
      <c r="M17" s="60">
        <f t="shared" si="0"/>
        <v>3.1775010962248367E-4</v>
      </c>
      <c r="N17" s="61" t="s">
        <v>99</v>
      </c>
    </row>
    <row r="18" spans="1:14" x14ac:dyDescent="0.2">
      <c r="A18" s="58"/>
      <c r="B18" s="58">
        <v>7</v>
      </c>
      <c r="C18" s="58">
        <v>1</v>
      </c>
      <c r="D18" s="60">
        <f t="shared" si="1"/>
        <v>4.3929688401747418E-4</v>
      </c>
      <c r="E18" s="58"/>
      <c r="F18" s="58"/>
      <c r="G18" s="58"/>
      <c r="H18" s="58">
        <v>1</v>
      </c>
      <c r="I18" s="58">
        <v>7</v>
      </c>
      <c r="J18" s="60">
        <f t="shared" si="3"/>
        <v>4.9651356909722573E-11</v>
      </c>
      <c r="K18" s="58"/>
      <c r="L18" s="58"/>
      <c r="M18" s="60">
        <f t="shared" si="0"/>
        <v>1.0691082156984786E-4</v>
      </c>
      <c r="N18" s="61" t="s">
        <v>100</v>
      </c>
    </row>
    <row r="19" spans="1:14" x14ac:dyDescent="0.2">
      <c r="A19" s="58"/>
      <c r="B19" s="58">
        <v>3</v>
      </c>
      <c r="C19" s="58">
        <v>2</v>
      </c>
      <c r="D19" s="60">
        <f t="shared" si="1"/>
        <v>1.5593416827333461E-3</v>
      </c>
      <c r="E19" s="58"/>
      <c r="F19" s="58"/>
      <c r="G19" s="58"/>
      <c r="H19" s="58">
        <v>2</v>
      </c>
      <c r="I19" s="58">
        <v>3</v>
      </c>
      <c r="J19" s="60">
        <f t="shared" si="3"/>
        <v>1.0842683678942599E-4</v>
      </c>
      <c r="K19" s="58"/>
      <c r="L19" s="58"/>
      <c r="M19" s="60">
        <f t="shared" si="0"/>
        <v>3.083264873677798E-5</v>
      </c>
      <c r="N19" s="61" t="s">
        <v>101</v>
      </c>
    </row>
    <row r="20" spans="1:14" x14ac:dyDescent="0.2">
      <c r="A20" s="58"/>
      <c r="B20" s="58">
        <v>4</v>
      </c>
      <c r="C20" s="58">
        <v>2</v>
      </c>
      <c r="D20" s="60">
        <f t="shared" si="1"/>
        <v>7.8698871547455262E-4</v>
      </c>
      <c r="E20" s="58"/>
      <c r="F20" s="58"/>
      <c r="G20" s="58"/>
      <c r="H20" s="58">
        <v>2</v>
      </c>
      <c r="I20" s="58">
        <v>4</v>
      </c>
      <c r="J20" s="60">
        <f t="shared" si="3"/>
        <v>3.8050424371270377E-6</v>
      </c>
      <c r="K20" s="58"/>
      <c r="L20" s="58"/>
      <c r="M20" s="60">
        <f t="shared" si="0"/>
        <v>3.6823914922297805E-5</v>
      </c>
      <c r="N20" s="61" t="s">
        <v>102</v>
      </c>
    </row>
    <row r="21" spans="1:14" x14ac:dyDescent="0.2">
      <c r="A21" s="58"/>
      <c r="B21" s="58">
        <v>5</v>
      </c>
      <c r="C21" s="58">
        <v>2</v>
      </c>
      <c r="D21" s="60">
        <f t="shared" si="1"/>
        <v>3.1775010962248367E-4</v>
      </c>
      <c r="E21" s="58"/>
      <c r="F21" s="58"/>
      <c r="G21" s="58"/>
      <c r="H21" s="58">
        <v>2</v>
      </c>
      <c r="I21" s="58">
        <v>5</v>
      </c>
      <c r="J21" s="60">
        <f t="shared" si="3"/>
        <v>1.0682482954994492E-7</v>
      </c>
      <c r="K21" s="58"/>
      <c r="L21" s="58"/>
      <c r="M21" s="60">
        <f t="shared" si="0"/>
        <v>1.4867815475897363E-5</v>
      </c>
      <c r="N21" s="61" t="s">
        <v>103</v>
      </c>
    </row>
    <row r="22" spans="1:14" x14ac:dyDescent="0.2">
      <c r="A22" s="58"/>
      <c r="B22" s="58">
        <v>6</v>
      </c>
      <c r="C22" s="58">
        <v>2</v>
      </c>
      <c r="D22" s="60">
        <f t="shared" si="1"/>
        <v>1.0691082156984786E-4</v>
      </c>
      <c r="E22" s="58"/>
      <c r="F22" s="58"/>
      <c r="G22" s="58"/>
      <c r="H22" s="58">
        <v>2</v>
      </c>
      <c r="I22" s="58">
        <v>6</v>
      </c>
      <c r="J22" s="60">
        <f t="shared" si="3"/>
        <v>2.4992152730958279E-9</v>
      </c>
      <c r="K22" s="58"/>
      <c r="L22" s="58"/>
      <c r="M22" s="60">
        <f t="shared" si="0"/>
        <v>5.0024541907022268E-6</v>
      </c>
      <c r="N22" s="61" t="s">
        <v>104</v>
      </c>
    </row>
    <row r="23" spans="1:14" x14ac:dyDescent="0.2">
      <c r="A23" s="62"/>
      <c r="B23" s="58">
        <v>7</v>
      </c>
      <c r="C23" s="58">
        <v>2</v>
      </c>
      <c r="D23" s="60">
        <f t="shared" si="1"/>
        <v>3.083264873677798E-5</v>
      </c>
      <c r="E23" s="58"/>
      <c r="F23" s="58"/>
      <c r="G23" s="58"/>
      <c r="H23" s="58">
        <v>2</v>
      </c>
      <c r="I23" s="58">
        <v>7</v>
      </c>
      <c r="J23" s="60">
        <f t="shared" si="3"/>
        <v>5.011737713245381E-11</v>
      </c>
      <c r="K23" s="58"/>
      <c r="L23" s="58"/>
      <c r="M23" s="60">
        <f t="shared" si="0"/>
        <v>1.4426875653834172E-6</v>
      </c>
      <c r="N23" s="61" t="s">
        <v>105</v>
      </c>
    </row>
    <row r="24" spans="1:14" x14ac:dyDescent="0.2">
      <c r="A24" s="62"/>
      <c r="B24" s="58">
        <v>4</v>
      </c>
      <c r="C24" s="58">
        <v>3</v>
      </c>
      <c r="D24" s="60">
        <f t="shared" si="1"/>
        <v>3.6823914922297805E-5</v>
      </c>
      <c r="E24" s="58"/>
      <c r="F24" s="58"/>
      <c r="G24" s="58"/>
      <c r="H24" s="58">
        <v>3</v>
      </c>
      <c r="I24" s="58">
        <v>4</v>
      </c>
      <c r="J24" s="60">
        <f t="shared" si="3"/>
        <v>2.5605039982186245E-6</v>
      </c>
      <c r="K24" s="58"/>
      <c r="L24" s="58"/>
      <c r="M24" s="60">
        <f t="shared" si="0"/>
        <v>5.2175891604245961E-7</v>
      </c>
      <c r="N24" s="61" t="s">
        <v>106</v>
      </c>
    </row>
    <row r="25" spans="1:14" x14ac:dyDescent="0.2">
      <c r="A25" s="62"/>
      <c r="B25" s="58">
        <v>5</v>
      </c>
      <c r="C25" s="58">
        <v>3</v>
      </c>
      <c r="D25" s="60">
        <f t="shared" si="1"/>
        <v>1.4867815475897363E-5</v>
      </c>
      <c r="E25" s="58"/>
      <c r="F25" s="58"/>
      <c r="G25" s="58"/>
      <c r="H25" s="58">
        <v>3</v>
      </c>
      <c r="I25" s="58">
        <v>5</v>
      </c>
      <c r="J25" s="60">
        <f t="shared" si="3"/>
        <v>7.1884980967040117E-8</v>
      </c>
      <c r="K25" s="58"/>
      <c r="L25" s="58"/>
      <c r="M25" s="60">
        <f t="shared" si="0"/>
        <v>1.7555202244230971E-7</v>
      </c>
      <c r="N25" s="61" t="s">
        <v>107</v>
      </c>
    </row>
    <row r="26" spans="1:14" x14ac:dyDescent="0.2">
      <c r="A26" s="58"/>
      <c r="B26" s="58">
        <v>6</v>
      </c>
      <c r="C26" s="58">
        <v>3</v>
      </c>
      <c r="D26" s="60">
        <f t="shared" si="1"/>
        <v>5.0024541907022268E-6</v>
      </c>
      <c r="E26" s="58"/>
      <c r="F26" s="58"/>
      <c r="G26" s="58"/>
      <c r="H26" s="58">
        <v>3</v>
      </c>
      <c r="I26" s="58">
        <v>6</v>
      </c>
      <c r="J26" s="60">
        <f t="shared" si="3"/>
        <v>1.6817816896682535E-9</v>
      </c>
      <c r="K26" s="58"/>
      <c r="L26" s="58"/>
      <c r="M26" s="60">
        <f t="shared" si="0"/>
        <v>5.0628493575446044E-8</v>
      </c>
      <c r="N26" s="61" t="s">
        <v>108</v>
      </c>
    </row>
    <row r="27" spans="1:14" x14ac:dyDescent="0.2">
      <c r="A27" s="58"/>
      <c r="B27" s="58">
        <v>7</v>
      </c>
      <c r="C27" s="58">
        <v>3</v>
      </c>
      <c r="D27" s="60">
        <f t="shared" si="1"/>
        <v>1.4426875653834172E-6</v>
      </c>
      <c r="E27" s="58"/>
      <c r="F27" s="58"/>
      <c r="G27" s="58"/>
      <c r="H27" s="58">
        <v>3</v>
      </c>
      <c r="I27" s="58">
        <v>7</v>
      </c>
      <c r="J27" s="60">
        <f t="shared" si="3"/>
        <v>3.372518090094412E-11</v>
      </c>
      <c r="K27" s="58"/>
      <c r="L27" s="58"/>
      <c r="M27" s="60">
        <f t="shared" si="0"/>
        <v>4.9285428965431879E-9</v>
      </c>
      <c r="N27" s="61" t="s">
        <v>109</v>
      </c>
    </row>
    <row r="28" spans="1:14" x14ac:dyDescent="0.2">
      <c r="A28" s="58"/>
      <c r="B28" s="58">
        <v>5</v>
      </c>
      <c r="C28" s="58">
        <v>4</v>
      </c>
      <c r="D28" s="60">
        <f t="shared" si="1"/>
        <v>5.2175891604245961E-7</v>
      </c>
      <c r="E28" s="58"/>
      <c r="F28" s="58"/>
      <c r="G28" s="58"/>
      <c r="H28" s="58">
        <v>4</v>
      </c>
      <c r="I28" s="58">
        <v>5</v>
      </c>
      <c r="J28" s="60">
        <f t="shared" si="3"/>
        <v>3.6279841332784869E-8</v>
      </c>
      <c r="K28" s="58"/>
      <c r="L28" s="58"/>
      <c r="M28" s="60">
        <f t="shared" si="0"/>
        <v>1.4213718469460889E-9</v>
      </c>
      <c r="N28" s="61" t="s">
        <v>110</v>
      </c>
    </row>
    <row r="29" spans="1:14" x14ac:dyDescent="0.2">
      <c r="A29" s="58"/>
      <c r="B29" s="58">
        <v>6</v>
      </c>
      <c r="C29" s="58">
        <v>4</v>
      </c>
      <c r="D29" s="60">
        <f t="shared" si="1"/>
        <v>1.7555202244230971E-7</v>
      </c>
      <c r="E29" s="58"/>
      <c r="F29" s="58"/>
      <c r="G29" s="58"/>
      <c r="H29" s="58">
        <v>4</v>
      </c>
      <c r="I29" s="58">
        <v>6</v>
      </c>
      <c r="J29" s="60">
        <f t="shared" si="3"/>
        <v>8.4878332075406523E-10</v>
      </c>
      <c r="K29" s="58"/>
      <c r="L29" s="58"/>
      <c r="M29" s="60">
        <f t="shared" si="0"/>
        <v>3.3253638162607509E-11</v>
      </c>
      <c r="N29" s="61" t="s">
        <v>111</v>
      </c>
    </row>
    <row r="30" spans="1:14" x14ac:dyDescent="0.2">
      <c r="A30" s="58"/>
      <c r="B30" s="58">
        <v>7</v>
      </c>
      <c r="C30" s="58">
        <v>4</v>
      </c>
      <c r="D30" s="60">
        <f t="shared" si="1"/>
        <v>5.0628493575446044E-8</v>
      </c>
      <c r="E30" s="58"/>
      <c r="F30" s="58"/>
      <c r="G30" s="58"/>
      <c r="H30" s="58">
        <v>4</v>
      </c>
      <c r="I30" s="58">
        <v>7</v>
      </c>
      <c r="J30" s="60">
        <f t="shared" si="3"/>
        <v>1.7020860206761758E-11</v>
      </c>
      <c r="K30" s="58"/>
      <c r="L30" s="58"/>
      <c r="M30" s="60">
        <f>G6</f>
        <v>0.1154238332357541</v>
      </c>
      <c r="N30" s="61" t="s">
        <v>112</v>
      </c>
    </row>
    <row r="31" spans="1:14" x14ac:dyDescent="0.2">
      <c r="A31" s="58"/>
      <c r="B31" s="58">
        <v>6</v>
      </c>
      <c r="C31" s="58">
        <v>5</v>
      </c>
      <c r="D31" s="60">
        <f t="shared" si="1"/>
        <v>4.9285428965431879E-9</v>
      </c>
      <c r="E31" s="58"/>
      <c r="F31" s="58"/>
      <c r="G31" s="58"/>
      <c r="H31" s="58">
        <v>5</v>
      </c>
      <c r="I31" s="58">
        <v>6</v>
      </c>
      <c r="J31" s="60">
        <f t="shared" si="3"/>
        <v>3.42699949709839E-10</v>
      </c>
      <c r="K31" s="58"/>
      <c r="L31" s="58"/>
      <c r="M31" s="60">
        <f t="shared" ref="M31:M37" si="4">G7</f>
        <v>3.2708860120728732E-2</v>
      </c>
      <c r="N31" s="61" t="s">
        <v>113</v>
      </c>
    </row>
    <row r="32" spans="1:14" x14ac:dyDescent="0.2">
      <c r="A32" s="58"/>
      <c r="B32" s="58">
        <v>7</v>
      </c>
      <c r="C32" s="58">
        <v>5</v>
      </c>
      <c r="D32" s="60">
        <f t="shared" si="1"/>
        <v>1.4213718469460889E-9</v>
      </c>
      <c r="E32" s="58"/>
      <c r="F32" s="58"/>
      <c r="G32" s="58"/>
      <c r="H32" s="58">
        <v>5</v>
      </c>
      <c r="I32" s="58">
        <v>7</v>
      </c>
      <c r="J32" s="60">
        <f t="shared" si="3"/>
        <v>6.8722461837413722E-12</v>
      </c>
      <c r="K32" s="58"/>
      <c r="L32" s="58"/>
      <c r="M32" s="60">
        <f t="shared" si="4"/>
        <v>2.3172630391943864E-3</v>
      </c>
      <c r="N32" s="61" t="s">
        <v>114</v>
      </c>
    </row>
    <row r="33" spans="1:17" x14ac:dyDescent="0.2">
      <c r="A33" s="58"/>
      <c r="B33" s="58">
        <v>7</v>
      </c>
      <c r="C33" s="58">
        <v>6</v>
      </c>
      <c r="D33" s="60">
        <f t="shared" si="1"/>
        <v>3.3253638162607509E-11</v>
      </c>
      <c r="E33" s="58"/>
      <c r="F33" s="58"/>
      <c r="G33" s="58"/>
      <c r="H33" s="58">
        <v>6</v>
      </c>
      <c r="I33" s="58">
        <v>7</v>
      </c>
      <c r="J33" s="60">
        <f t="shared" si="3"/>
        <v>2.3122493534524774E-12</v>
      </c>
      <c r="K33" s="58"/>
      <c r="L33" s="58"/>
      <c r="M33" s="60">
        <f t="shared" si="4"/>
        <v>7.2963009927201625E-5</v>
      </c>
      <c r="N33" s="61" t="s">
        <v>115</v>
      </c>
    </row>
    <row r="34" spans="1:17" x14ac:dyDescent="0.2">
      <c r="A34" s="58"/>
      <c r="B34" s="129">
        <f>SUM(D6:D33)</f>
        <v>0.82839630579769619</v>
      </c>
      <c r="C34" s="129"/>
      <c r="D34" s="129"/>
      <c r="E34" s="129">
        <f>1-B34</f>
        <v>0.17160369420230381</v>
      </c>
      <c r="F34" s="129"/>
      <c r="G34" s="58"/>
      <c r="H34" s="129">
        <f>SUM(J6:J33)</f>
        <v>1.9916697766906914E-2</v>
      </c>
      <c r="I34" s="129"/>
      <c r="J34" s="129"/>
      <c r="K34" s="129">
        <f>1-H34</f>
        <v>0.98008330223309303</v>
      </c>
      <c r="L34" s="58"/>
      <c r="M34" s="60">
        <f t="shared" si="4"/>
        <v>1.2922682532242164E-6</v>
      </c>
      <c r="N34" s="61" t="s">
        <v>116</v>
      </c>
    </row>
    <row r="35" spans="1:17" x14ac:dyDescent="0.2">
      <c r="A35" s="58"/>
      <c r="B35" s="129"/>
      <c r="C35" s="129"/>
      <c r="D35" s="129"/>
      <c r="E35" s="129"/>
      <c r="F35" s="129"/>
      <c r="G35" s="58"/>
      <c r="H35" s="129"/>
      <c r="I35" s="129"/>
      <c r="J35" s="129"/>
      <c r="K35" s="129"/>
      <c r="L35" s="58"/>
      <c r="M35" s="60">
        <f t="shared" si="4"/>
        <v>1.4648143402701007E-8</v>
      </c>
      <c r="N35" s="61" t="s">
        <v>117</v>
      </c>
    </row>
    <row r="36" spans="1:17" x14ac:dyDescent="0.2">
      <c r="A36" s="131" t="s">
        <v>118</v>
      </c>
      <c r="B36" s="131"/>
      <c r="C36" s="131"/>
      <c r="D36" s="129">
        <f>SUM(D6:D12)</f>
        <v>0.75259995039076999</v>
      </c>
      <c r="E36" s="58"/>
      <c r="F36" s="58"/>
      <c r="G36" s="58"/>
      <c r="H36" s="129">
        <f>SUM(J6:J12)</f>
        <v>1.7394672478237293E-2</v>
      </c>
      <c r="I36" s="129"/>
      <c r="J36" s="131" t="s">
        <v>119</v>
      </c>
      <c r="K36" s="131"/>
      <c r="L36" s="58"/>
      <c r="M36" s="60">
        <f t="shared" si="4"/>
        <v>1.1530549342360301E-10</v>
      </c>
      <c r="N36" s="61" t="s">
        <v>120</v>
      </c>
    </row>
    <row r="37" spans="1:17" x14ac:dyDescent="0.2">
      <c r="A37" s="131"/>
      <c r="B37" s="131"/>
      <c r="C37" s="131"/>
      <c r="D37" s="129"/>
      <c r="E37" s="58"/>
      <c r="F37" s="58"/>
      <c r="G37" s="58"/>
      <c r="H37" s="129"/>
      <c r="I37" s="129"/>
      <c r="J37" s="131"/>
      <c r="K37" s="131"/>
      <c r="L37" s="58"/>
      <c r="M37" s="60">
        <f t="shared" si="4"/>
        <v>6.6684336590066E-13</v>
      </c>
      <c r="N37" s="61" t="s">
        <v>121</v>
      </c>
    </row>
    <row r="38" spans="1:17" x14ac:dyDescent="0.2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60">
        <f>J6</f>
        <v>1.6202357155207524E-2</v>
      </c>
      <c r="N38" s="61" t="s">
        <v>122</v>
      </c>
    </row>
    <row r="39" spans="1:17" x14ac:dyDescent="0.2">
      <c r="A39" s="131" t="s">
        <v>123</v>
      </c>
      <c r="B39" s="131"/>
      <c r="C39" s="131"/>
      <c r="D39" s="131"/>
      <c r="E39" s="134">
        <f>LARGE(M2:M65,1)</f>
        <v>0.23520140627177658</v>
      </c>
      <c r="F39" s="134"/>
      <c r="G39" s="58" t="str">
        <f>VLOOKUP(E39,M2:N65,2,FALSE)</f>
        <v>2-0</v>
      </c>
      <c r="H39" s="58">
        <f>IFERROR(VALUE(LEFT(G39,FIND("-",G39,1)-1)),"")</f>
        <v>2</v>
      </c>
      <c r="I39" s="58">
        <f>IFERROR(VALUE(RIGHT(G39,FIND("-",G39,1)-1)),"")</f>
        <v>0</v>
      </c>
      <c r="J39" s="58">
        <f>H39+I39</f>
        <v>2</v>
      </c>
      <c r="K39" s="58"/>
      <c r="L39" s="58"/>
      <c r="M39" s="60">
        <f t="shared" ref="M39:M65" si="5">J7</f>
        <v>1.1371844532693375E-3</v>
      </c>
      <c r="N39" s="61" t="s">
        <v>124</v>
      </c>
      <c r="Q39" s="59" t="str">
        <f>CONCATENATE(H39,":",I39)</f>
        <v>2:0</v>
      </c>
    </row>
    <row r="40" spans="1:17" x14ac:dyDescent="0.2">
      <c r="A40" s="131" t="s">
        <v>125</v>
      </c>
      <c r="B40" s="131"/>
      <c r="C40" s="131"/>
      <c r="D40" s="131"/>
      <c r="E40" s="134">
        <f>LARGE(M2:M65,2)</f>
        <v>0.23301436820217067</v>
      </c>
      <c r="F40" s="134"/>
      <c r="G40" s="58" t="str">
        <f>VLOOKUP(E40,M2:N65,2,FALSE)</f>
        <v>1-0</v>
      </c>
      <c r="H40" s="58">
        <f>IFERROR(VALUE(LEFT(G40,FIND("-",G40,1)-1)),"")</f>
        <v>1</v>
      </c>
      <c r="I40" s="58">
        <f>IFERROR(VALUE(RIGHT(G40,FIND("-",G40,1)-1)),"")</f>
        <v>0</v>
      </c>
      <c r="J40" s="58">
        <f t="shared" ref="J40:J41" si="6">H40+I40</f>
        <v>1</v>
      </c>
      <c r="K40" s="58"/>
      <c r="L40" s="58"/>
      <c r="M40" s="60">
        <f t="shared" si="5"/>
        <v>5.3209890732548726E-5</v>
      </c>
      <c r="N40" s="61" t="s">
        <v>126</v>
      </c>
      <c r="Q40" s="59" t="str">
        <f>CONCATENATE(H40,":",I40)</f>
        <v>1:0</v>
      </c>
    </row>
    <row r="41" spans="1:17" x14ac:dyDescent="0.2">
      <c r="A41" s="131" t="s">
        <v>127</v>
      </c>
      <c r="B41" s="131"/>
      <c r="C41" s="131"/>
      <c r="D41" s="131"/>
      <c r="E41" s="134">
        <f>LARGE(M2:M65,3)</f>
        <v>0.15827264770277788</v>
      </c>
      <c r="F41" s="134"/>
      <c r="G41" s="58" t="str">
        <f>VLOOKUP(E41,M2:N65,2,FALSE)</f>
        <v>3-0</v>
      </c>
      <c r="H41" s="58">
        <f>IFERROR(VALUE(LEFT(G41,FIND("-",G41,1)-1)),"")</f>
        <v>3</v>
      </c>
      <c r="I41" s="58">
        <f>IFERROR(VALUE(RIGHT(G41,FIND("-",G41,1)-1)),"")</f>
        <v>0</v>
      </c>
      <c r="J41" s="58">
        <f t="shared" si="6"/>
        <v>3</v>
      </c>
      <c r="K41" s="58"/>
      <c r="L41" s="58"/>
      <c r="M41" s="60">
        <f t="shared" si="5"/>
        <v>1.8673042422647294E-6</v>
      </c>
      <c r="N41" s="61" t="s">
        <v>128</v>
      </c>
    </row>
    <row r="42" spans="1:17" x14ac:dyDescent="0.2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60">
        <f t="shared" si="5"/>
        <v>5.2423714240735288E-8</v>
      </c>
      <c r="N42" s="61" t="s">
        <v>129</v>
      </c>
    </row>
    <row r="43" spans="1:17" x14ac:dyDescent="0.2">
      <c r="A43" s="131" t="s">
        <v>130</v>
      </c>
      <c r="B43" s="131"/>
      <c r="C43" s="131"/>
      <c r="D43" s="131"/>
      <c r="E43" s="135">
        <f>B34+E14</f>
        <v>0.97892053223566955</v>
      </c>
      <c r="F43" s="135"/>
      <c r="G43" s="135">
        <f>LARGE(E43:F45,1)</f>
        <v>0.97892053223566955</v>
      </c>
      <c r="H43" s="136" t="str">
        <f>IF(G43=E43,"1X",IF(G43=E44,"X2",IF(G43=E45,"12")))</f>
        <v>1X</v>
      </c>
      <c r="I43" s="136"/>
      <c r="J43" s="58"/>
      <c r="K43" s="58"/>
      <c r="L43" s="58"/>
      <c r="M43" s="60">
        <f t="shared" si="5"/>
        <v>1.226476539722449E-9</v>
      </c>
      <c r="N43" s="61" t="s">
        <v>131</v>
      </c>
    </row>
    <row r="44" spans="1:17" x14ac:dyDescent="0.2">
      <c r="A44" s="131" t="s">
        <v>132</v>
      </c>
      <c r="B44" s="131"/>
      <c r="C44" s="131"/>
      <c r="D44" s="131"/>
      <c r="E44" s="135">
        <f>E14+H34</f>
        <v>0.17044092420488027</v>
      </c>
      <c r="F44" s="135"/>
      <c r="G44" s="135"/>
      <c r="H44" s="136"/>
      <c r="I44" s="136"/>
      <c r="J44" s="58"/>
      <c r="K44" s="58"/>
      <c r="L44" s="58"/>
      <c r="M44" s="60">
        <f t="shared" si="5"/>
        <v>2.4594835005643823E-11</v>
      </c>
      <c r="N44" s="61" t="s">
        <v>133</v>
      </c>
    </row>
    <row r="45" spans="1:17" x14ac:dyDescent="0.2">
      <c r="A45" s="131">
        <v>12</v>
      </c>
      <c r="B45" s="131"/>
      <c r="C45" s="131"/>
      <c r="D45" s="131"/>
      <c r="E45" s="135">
        <f>B34+H34</f>
        <v>0.84831300356460315</v>
      </c>
      <c r="F45" s="135"/>
      <c r="G45" s="135"/>
      <c r="H45" s="136"/>
      <c r="I45" s="136"/>
      <c r="J45" s="58"/>
      <c r="K45" s="58"/>
      <c r="L45" s="58"/>
      <c r="M45" s="60">
        <f t="shared" si="5"/>
        <v>2.2957157935195338E-3</v>
      </c>
      <c r="N45" s="61" t="s">
        <v>134</v>
      </c>
    </row>
    <row r="46" spans="1:17" x14ac:dyDescent="0.2">
      <c r="G46" s="58"/>
      <c r="H46" s="58"/>
      <c r="I46" s="58"/>
      <c r="J46" s="58"/>
      <c r="K46" s="58"/>
      <c r="L46" s="58"/>
      <c r="M46" s="60">
        <f t="shared" si="5"/>
        <v>1.0741862164486425E-4</v>
      </c>
      <c r="N46" s="61" t="s">
        <v>135</v>
      </c>
    </row>
    <row r="47" spans="1:17" x14ac:dyDescent="0.2">
      <c r="A47" s="130" t="s">
        <v>136</v>
      </c>
      <c r="B47" s="130"/>
      <c r="C47" s="130"/>
      <c r="D47" s="130"/>
      <c r="F47" s="58"/>
      <c r="G47" s="130" t="s">
        <v>137</v>
      </c>
      <c r="H47" s="130"/>
      <c r="I47" s="130"/>
      <c r="J47" s="130"/>
      <c r="K47" s="58"/>
      <c r="L47" s="58"/>
      <c r="M47" s="60">
        <f t="shared" si="5"/>
        <v>3.7696609621674577E-6</v>
      </c>
      <c r="N47" s="61" t="s">
        <v>138</v>
      </c>
    </row>
    <row r="48" spans="1:17" x14ac:dyDescent="0.2">
      <c r="A48" s="130" t="s">
        <v>139</v>
      </c>
      <c r="B48" s="130"/>
      <c r="C48" s="130" t="s">
        <v>140</v>
      </c>
      <c r="D48" s="130"/>
      <c r="F48" s="58"/>
      <c r="G48" s="130" t="s">
        <v>139</v>
      </c>
      <c r="H48" s="130"/>
      <c r="I48" s="130" t="s">
        <v>140</v>
      </c>
      <c r="J48" s="130"/>
      <c r="K48" s="58"/>
      <c r="L48" s="58"/>
      <c r="M48" s="60">
        <f t="shared" si="5"/>
        <v>1.0583151079089409E-7</v>
      </c>
      <c r="N48" s="61" t="s">
        <v>141</v>
      </c>
    </row>
    <row r="49" spans="1:14" x14ac:dyDescent="0.2">
      <c r="A49" s="137">
        <f>SUM(D6:D33)+SUM(G7:G13)+SUM(J13:J33)</f>
        <v>0.86601872428858506</v>
      </c>
      <c r="B49" s="130"/>
      <c r="C49" s="137">
        <f>SUM(J6:J12)+G6</f>
        <v>0.1328185057139914</v>
      </c>
      <c r="D49" s="130"/>
      <c r="E49" s="58"/>
      <c r="F49" s="58"/>
      <c r="G49" s="137">
        <f>SUM(J6:J33)+SUM(G7:G13)+SUM(D13:D33)</f>
        <v>0.13081344637605213</v>
      </c>
      <c r="H49" s="130"/>
      <c r="I49" s="137">
        <f>SUM(D6:D12)+G6</f>
        <v>0.8680237836265241</v>
      </c>
      <c r="J49" s="130"/>
      <c r="K49" s="58"/>
      <c r="L49" s="58"/>
      <c r="M49" s="60">
        <f t="shared" si="5"/>
        <v>2.4759761308090454E-9</v>
      </c>
      <c r="N49" s="61" t="s">
        <v>142</v>
      </c>
    </row>
    <row r="50" spans="1:14" x14ac:dyDescent="0.2">
      <c r="A50" s="132">
        <f>A49-C49</f>
        <v>0.73320021857459361</v>
      </c>
      <c r="B50" s="132"/>
      <c r="C50" s="132"/>
      <c r="D50" s="132"/>
      <c r="E50" s="58"/>
      <c r="F50" s="58"/>
      <c r="G50" s="132">
        <f>G49-I49</f>
        <v>-0.73721033725047191</v>
      </c>
      <c r="H50" s="132"/>
      <c r="I50" s="132"/>
      <c r="J50" s="132"/>
      <c r="K50" s="58"/>
      <c r="L50" s="58"/>
      <c r="M50" s="60">
        <f t="shared" si="5"/>
        <v>4.9651356909722573E-11</v>
      </c>
      <c r="N50" s="61" t="s">
        <v>143</v>
      </c>
    </row>
    <row r="51" spans="1:14" x14ac:dyDescent="0.2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60">
        <f t="shared" si="5"/>
        <v>1.0842683678942599E-4</v>
      </c>
      <c r="N51" s="61" t="s">
        <v>144</v>
      </c>
    </row>
    <row r="52" spans="1:14" x14ac:dyDescent="0.2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60">
        <f t="shared" si="5"/>
        <v>3.8050424371270377E-6</v>
      </c>
      <c r="N52" s="61" t="s">
        <v>145</v>
      </c>
    </row>
    <row r="53" spans="1:14" x14ac:dyDescent="0.2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60">
        <f t="shared" si="5"/>
        <v>1.0682482954994492E-7</v>
      </c>
      <c r="N53" s="61" t="s">
        <v>146</v>
      </c>
    </row>
    <row r="54" spans="1:14" x14ac:dyDescent="0.2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60">
        <f t="shared" si="5"/>
        <v>2.4992152730958279E-9</v>
      </c>
      <c r="N54" s="61" t="s">
        <v>147</v>
      </c>
    </row>
    <row r="55" spans="1:14" x14ac:dyDescent="0.2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60">
        <f t="shared" si="5"/>
        <v>5.011737713245381E-11</v>
      </c>
      <c r="N55" s="61" t="s">
        <v>148</v>
      </c>
    </row>
    <row r="56" spans="1:14" x14ac:dyDescent="0.2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60">
        <f t="shared" si="5"/>
        <v>2.5605039982186245E-6</v>
      </c>
      <c r="N56" s="61" t="s">
        <v>149</v>
      </c>
    </row>
    <row r="57" spans="1:14" x14ac:dyDescent="0.2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60">
        <f t="shared" si="5"/>
        <v>7.1884980967040117E-8</v>
      </c>
      <c r="N57" s="61" t="s">
        <v>150</v>
      </c>
    </row>
    <row r="58" spans="1:14" x14ac:dyDescent="0.2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60">
        <f t="shared" si="5"/>
        <v>1.6817816896682535E-9</v>
      </c>
      <c r="N58" s="61" t="s">
        <v>151</v>
      </c>
    </row>
    <row r="59" spans="1:14" x14ac:dyDescent="0.2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60">
        <f t="shared" si="5"/>
        <v>3.372518090094412E-11</v>
      </c>
      <c r="N59" s="61" t="s">
        <v>152</v>
      </c>
    </row>
    <row r="60" spans="1:14" x14ac:dyDescent="0.2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60">
        <f t="shared" si="5"/>
        <v>3.6279841332784869E-8</v>
      </c>
      <c r="N60" s="61" t="s">
        <v>153</v>
      </c>
    </row>
    <row r="61" spans="1:14" x14ac:dyDescent="0.2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60">
        <f t="shared" si="5"/>
        <v>8.4878332075406523E-10</v>
      </c>
      <c r="N61" s="61" t="s">
        <v>154</v>
      </c>
    </row>
    <row r="62" spans="1:14" x14ac:dyDescent="0.2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60">
        <f t="shared" si="5"/>
        <v>1.7020860206761758E-11</v>
      </c>
      <c r="N62" s="61" t="s">
        <v>155</v>
      </c>
    </row>
    <row r="63" spans="1:14" x14ac:dyDescent="0.2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60">
        <f t="shared" si="5"/>
        <v>3.42699949709839E-10</v>
      </c>
      <c r="N63" s="61" t="s">
        <v>156</v>
      </c>
    </row>
    <row r="64" spans="1:14" x14ac:dyDescent="0.2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60">
        <f t="shared" si="5"/>
        <v>6.8722461837413722E-12</v>
      </c>
      <c r="N64" s="61" t="s">
        <v>157</v>
      </c>
    </row>
    <row r="65" spans="1:14" x14ac:dyDescent="0.2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60">
        <f t="shared" si="5"/>
        <v>2.3122493534524774E-12</v>
      </c>
      <c r="N65" s="61" t="s">
        <v>158</v>
      </c>
    </row>
  </sheetData>
  <mergeCells count="44">
    <mergeCell ref="A49:B49"/>
    <mergeCell ref="C49:D49"/>
    <mergeCell ref="G49:H49"/>
    <mergeCell ref="I49:J49"/>
    <mergeCell ref="A50:D50"/>
    <mergeCell ref="G50:J50"/>
    <mergeCell ref="A47:D47"/>
    <mergeCell ref="G47:J47"/>
    <mergeCell ref="A48:B48"/>
    <mergeCell ref="C48:D48"/>
    <mergeCell ref="G48:H48"/>
    <mergeCell ref="I48:J48"/>
    <mergeCell ref="G43:G45"/>
    <mergeCell ref="H43:I45"/>
    <mergeCell ref="A44:D44"/>
    <mergeCell ref="E44:F44"/>
    <mergeCell ref="A45:D45"/>
    <mergeCell ref="E45:F45"/>
    <mergeCell ref="A40:D40"/>
    <mergeCell ref="E40:F40"/>
    <mergeCell ref="A41:D41"/>
    <mergeCell ref="E41:F41"/>
    <mergeCell ref="A43:D43"/>
    <mergeCell ref="E43:F43"/>
    <mergeCell ref="A36:C37"/>
    <mergeCell ref="D36:D37"/>
    <mergeCell ref="H36:I37"/>
    <mergeCell ref="J36:K37"/>
    <mergeCell ref="A39:D39"/>
    <mergeCell ref="E39:F39"/>
    <mergeCell ref="K34:K35"/>
    <mergeCell ref="B1:J1"/>
    <mergeCell ref="M1:N1"/>
    <mergeCell ref="B2:D3"/>
    <mergeCell ref="E2:G3"/>
    <mergeCell ref="H2:J3"/>
    <mergeCell ref="B4:D5"/>
    <mergeCell ref="E4:G5"/>
    <mergeCell ref="H4:J5"/>
    <mergeCell ref="E14:G15"/>
    <mergeCell ref="E16:G17"/>
    <mergeCell ref="B34:D35"/>
    <mergeCell ref="E34:F35"/>
    <mergeCell ref="H34:J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Analysis</vt:lpstr>
      <vt:lpstr>League Table</vt:lpstr>
      <vt:lpstr>1</vt:lpstr>
      <vt:lpstr>2</vt:lpstr>
      <vt:lpstr>AwayTeam</vt:lpstr>
      <vt:lpstr>AwayTotalAwayGames</vt:lpstr>
      <vt:lpstr>AwayTotalAwayGoals</vt:lpstr>
      <vt:lpstr>AwayTotalConcedeAway</vt:lpstr>
      <vt:lpstr>HomeTeam</vt:lpstr>
      <vt:lpstr>HomeTotalConcedeHome</vt:lpstr>
      <vt:lpstr>HomeTotalHomeGames</vt:lpstr>
      <vt:lpstr>HomeTotalHomeGoals</vt:lpstr>
      <vt:lpstr>LeagueRow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</dc:creator>
  <cp:lastModifiedBy>Farid</cp:lastModifiedBy>
  <dcterms:created xsi:type="dcterms:W3CDTF">2015-06-05T18:19:34Z</dcterms:created>
  <dcterms:modified xsi:type="dcterms:W3CDTF">2021-10-04T15:34:03Z</dcterms:modified>
</cp:coreProperties>
</file>